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-серпень" sheetId="1" r:id="rId1"/>
  </sheets>
  <definedNames>
    <definedName name="_xlnm.Print_Titles" localSheetId="0">'січень-серпень'!$A:$A</definedName>
    <definedName name="_xlnm.Print_Area" localSheetId="0">'січень-серпень'!$A$1:$II$20</definedName>
  </definedNames>
  <calcPr fullCalcOnLoad="1"/>
</workbook>
</file>

<file path=xl/sharedStrings.xml><?xml version="1.0" encoding="utf-8"?>
<sst xmlns="http://schemas.openxmlformats.org/spreadsheetml/2006/main" count="245" uniqueCount="75">
  <si>
    <t>Всього:</t>
  </si>
  <si>
    <t xml:space="preserve"> 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</si>
  <si>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</si>
  <si>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</si>
  <si>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</si>
  <si>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</si>
  <si>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</si>
  <si>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</si>
  <si>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</si>
  <si>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</si>
  <si>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</si>
  <si>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</si>
  <si>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180504 Єдиний податок з фізичних осіб </t>
  </si>
  <si>
    <t>18050000 Єдиний податок</t>
  </si>
  <si>
    <t xml:space="preserve">22010000 Плата за надання адміністративних послуг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</si>
  <si>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</si>
  <si>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</si>
  <si>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</si>
  <si>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</si>
  <si>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</si>
  <si>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</si>
  <si>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</si>
  <si>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</si>
  <si>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</si>
  <si>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</si>
  <si>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</si>
  <si>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</si>
  <si>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</si>
  <si>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</si>
  <si>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</si>
  <si>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11010000 Податок та збір на доходи фізичних осіб"</t>
  </si>
  <si>
    <t>11020200 Податок на прибуток</t>
  </si>
  <si>
    <t>Назва територіальної одиниці</t>
  </si>
  <si>
    <t>факт січень 2018 рік</t>
  </si>
  <si>
    <t>14000000 "Внутрішні податки на товари та послуги"</t>
  </si>
  <si>
    <t>розрах. план на січень 2018 року</t>
  </si>
  <si>
    <t>відх. до плану звіт.періоду тис.грн</t>
  </si>
  <si>
    <t>% відх.</t>
  </si>
  <si>
    <t>% вик. до річного плану</t>
  </si>
  <si>
    <t>14040000 "Акцизний податок"</t>
  </si>
  <si>
    <t>% вик.</t>
  </si>
  <si>
    <t>% вик. до плану звіт.періоду</t>
  </si>
  <si>
    <t>13010200   "Рентна плата"</t>
  </si>
  <si>
    <t xml:space="preserve">% вик. річного до плану </t>
  </si>
  <si>
    <t>% відх. до річн.плану</t>
  </si>
  <si>
    <t>% відх. до річн.   плану</t>
  </si>
  <si>
    <t xml:space="preserve"> 18010100-18010400                                        Податок на нерухоме майно</t>
  </si>
  <si>
    <t>приріст у %</t>
  </si>
  <si>
    <t>приріст           у %</t>
  </si>
  <si>
    <t>% викон. до плану зв.періоду</t>
  </si>
  <si>
    <t>% вик.до плану зв.періоду</t>
  </si>
  <si>
    <t>приріст              у %</t>
  </si>
  <si>
    <t>план на 2019 рік</t>
  </si>
  <si>
    <t>Н- Єгорівський тер.орг.</t>
  </si>
  <si>
    <t xml:space="preserve">питома вага </t>
  </si>
  <si>
    <t>питома вага</t>
  </si>
  <si>
    <t>план на 2020 рік</t>
  </si>
  <si>
    <t>факт січень -лютий 2020 рік</t>
  </si>
  <si>
    <t>по тер.органах</t>
  </si>
  <si>
    <t xml:space="preserve">% вик. </t>
  </si>
  <si>
    <t xml:space="preserve">24060300 - 24062200 
</t>
  </si>
  <si>
    <t>відх.до факту минулого року  тис.грн.</t>
  </si>
  <si>
    <t>приріст у % до факту минулого року</t>
  </si>
  <si>
    <t>21081100  - 21081500 Адміністративні штрафи</t>
  </si>
  <si>
    <t>тис.грн</t>
  </si>
  <si>
    <t>Надходження  за січень-грудень 2021 року  в розрізі податків та зборів по територіальних органах</t>
  </si>
  <si>
    <t>розрах. план на січень -грудень    2021 року</t>
  </si>
  <si>
    <t>факт січень -грудень     2021 рік</t>
  </si>
  <si>
    <t>факт січень -грудень      2021 рік</t>
  </si>
  <si>
    <t>факт січень -грудень        2021 рік</t>
  </si>
  <si>
    <t>факт січень -грудень        2021рік</t>
  </si>
  <si>
    <t xml:space="preserve">% вик. до річного плану </t>
  </si>
  <si>
    <t>факт              січня -грудня  2020 року</t>
  </si>
  <si>
    <t xml:space="preserve">              Земля всього</t>
  </si>
  <si>
    <t>Таблиця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</si>
</sst>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0.00000000"/>
    <numFmt numFmtId="183" formatCode="0.00000000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3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6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4" fontId="0" fillId="0" borderId="27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0" fillId="0" borderId="19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21" xfId="0" applyNumberFormat="1" applyFont="1" applyBorder="1" applyAlignment="1">
      <alignment horizontal="center"/>
    </xf>
    <xf numFmtId="175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4" fontId="0" fillId="33" borderId="12" xfId="0" applyNumberFormat="1" applyFont="1" applyFill="1" applyBorder="1" applyAlignment="1">
      <alignment horizontal="center"/>
    </xf>
    <xf numFmtId="175" fontId="0" fillId="0" borderId="30" xfId="0" applyNumberFormat="1" applyBorder="1" applyAlignment="1">
      <alignment/>
    </xf>
    <xf numFmtId="175" fontId="0" fillId="0" borderId="31" xfId="0" applyNumberFormat="1" applyBorder="1" applyAlignment="1">
      <alignment/>
    </xf>
    <xf numFmtId="175" fontId="0" fillId="0" borderId="30" xfId="0" applyNumberFormat="1" applyBorder="1" applyAlignment="1">
      <alignment horizontal="center"/>
    </xf>
    <xf numFmtId="175" fontId="0" fillId="0" borderId="32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4" fontId="0" fillId="0" borderId="19" xfId="0" applyNumberFormat="1" applyBorder="1" applyAlignment="1">
      <alignment horizontal="center"/>
    </xf>
    <xf numFmtId="174" fontId="0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3" fontId="0" fillId="0" borderId="21" xfId="0" applyNumberFormat="1" applyBorder="1" applyAlignment="1">
      <alignment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center"/>
    </xf>
    <xf numFmtId="175" fontId="0" fillId="33" borderId="0" xfId="0" applyNumberFormat="1" applyFill="1" applyBorder="1" applyAlignment="1">
      <alignment horizontal="center"/>
    </xf>
    <xf numFmtId="174" fontId="0" fillId="0" borderId="3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74" fontId="0" fillId="0" borderId="24" xfId="0" applyNumberFormat="1" applyFont="1" applyBorder="1" applyAlignment="1">
      <alignment horizontal="center"/>
    </xf>
    <xf numFmtId="174" fontId="0" fillId="0" borderId="34" xfId="0" applyNumberFormat="1" applyFont="1" applyBorder="1" applyAlignment="1">
      <alignment horizontal="center"/>
    </xf>
    <xf numFmtId="174" fontId="0" fillId="0" borderId="35" xfId="0" applyNumberFormat="1" applyFont="1" applyBorder="1" applyAlignment="1">
      <alignment horizontal="center"/>
    </xf>
    <xf numFmtId="175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74" fontId="0" fillId="0" borderId="34" xfId="0" applyNumberFormat="1" applyBorder="1" applyAlignment="1">
      <alignment horizontal="center"/>
    </xf>
    <xf numFmtId="175" fontId="0" fillId="0" borderId="34" xfId="0" applyNumberFormat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0" fontId="1" fillId="34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 wrapText="1"/>
    </xf>
    <xf numFmtId="175" fontId="1" fillId="33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174" fontId="0" fillId="33" borderId="17" xfId="0" applyNumberFormat="1" applyFont="1" applyFill="1" applyBorder="1" applyAlignment="1">
      <alignment horizontal="center"/>
    </xf>
    <xf numFmtId="174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174" fontId="0" fillId="33" borderId="0" xfId="0" applyNumberFormat="1" applyFont="1" applyFill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5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74" fontId="0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174" fontId="0" fillId="0" borderId="0" xfId="0" applyNumberFormat="1" applyAlignment="1">
      <alignment horizontal="center"/>
    </xf>
    <xf numFmtId="0" fontId="1" fillId="34" borderId="43" xfId="0" applyFont="1" applyFill="1" applyBorder="1" applyAlignment="1">
      <alignment horizontal="center" vertical="center" wrapText="1"/>
    </xf>
    <xf numFmtId="175" fontId="0" fillId="0" borderId="17" xfId="0" applyNumberFormat="1" applyBorder="1" applyAlignment="1">
      <alignment horizontal="center"/>
    </xf>
    <xf numFmtId="174" fontId="0" fillId="0" borderId="39" xfId="0" applyNumberFormat="1" applyBorder="1" applyAlignment="1">
      <alignment horizontal="center"/>
    </xf>
    <xf numFmtId="175" fontId="0" fillId="0" borderId="3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top" wrapText="1"/>
    </xf>
    <xf numFmtId="0" fontId="1" fillId="34" borderId="4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4" fontId="0" fillId="33" borderId="21" xfId="0" applyNumberFormat="1" applyFont="1" applyFill="1" applyBorder="1" applyAlignment="1">
      <alignment horizontal="center"/>
    </xf>
    <xf numFmtId="174" fontId="0" fillId="33" borderId="21" xfId="0" applyNumberFormat="1" applyFill="1" applyBorder="1" applyAlignment="1">
      <alignment horizontal="center"/>
    </xf>
    <xf numFmtId="174" fontId="0" fillId="33" borderId="12" xfId="0" applyNumberFormat="1" applyFill="1" applyBorder="1" applyAlignment="1">
      <alignment horizontal="center"/>
    </xf>
    <xf numFmtId="0" fontId="1" fillId="34" borderId="40" xfId="0" applyFont="1" applyFill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0" fontId="1" fillId="0" borderId="38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42" xfId="0" applyFont="1" applyFill="1" applyBorder="1" applyAlignment="1">
      <alignment horizontal="center" vertical="top" wrapText="1"/>
    </xf>
    <xf numFmtId="0" fontId="1" fillId="34" borderId="40" xfId="0" applyFont="1" applyFill="1" applyBorder="1" applyAlignment="1">
      <alignment horizontal="center" vertical="center" wrapText="1"/>
    </xf>
    <xf numFmtId="174" fontId="0" fillId="33" borderId="22" xfId="0" applyNumberFormat="1" applyFont="1" applyFill="1" applyBorder="1" applyAlignment="1">
      <alignment horizontal="center"/>
    </xf>
    <xf numFmtId="174" fontId="1" fillId="33" borderId="38" xfId="0" applyNumberFormat="1" applyFont="1" applyFill="1" applyBorder="1" applyAlignment="1">
      <alignment horizontal="center"/>
    </xf>
    <xf numFmtId="174" fontId="1" fillId="33" borderId="45" xfId="0" applyNumberFormat="1" applyFont="1" applyFill="1" applyBorder="1" applyAlignment="1">
      <alignment horizontal="center"/>
    </xf>
    <xf numFmtId="174" fontId="1" fillId="33" borderId="46" xfId="0" applyNumberFormat="1" applyFont="1" applyFill="1" applyBorder="1" applyAlignment="1">
      <alignment horizontal="center"/>
    </xf>
    <xf numFmtId="174" fontId="1" fillId="33" borderId="18" xfId="0" applyNumberFormat="1" applyFont="1" applyFill="1" applyBorder="1" applyAlignment="1">
      <alignment horizontal="center"/>
    </xf>
    <xf numFmtId="174" fontId="1" fillId="33" borderId="47" xfId="0" applyNumberFormat="1" applyFont="1" applyFill="1" applyBorder="1" applyAlignment="1">
      <alignment horizontal="center"/>
    </xf>
    <xf numFmtId="174" fontId="1" fillId="33" borderId="4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174" fontId="0" fillId="33" borderId="24" xfId="0" applyNumberFormat="1" applyFont="1" applyFill="1" applyBorder="1" applyAlignment="1">
      <alignment horizontal="center"/>
    </xf>
    <xf numFmtId="175" fontId="0" fillId="33" borderId="24" xfId="0" applyNumberFormat="1" applyFont="1" applyFill="1" applyBorder="1" applyAlignment="1">
      <alignment horizontal="center"/>
    </xf>
    <xf numFmtId="175" fontId="0" fillId="33" borderId="2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74" fontId="0" fillId="33" borderId="24" xfId="0" applyNumberFormat="1" applyFill="1" applyBorder="1" applyAlignment="1">
      <alignment horizontal="center"/>
    </xf>
    <xf numFmtId="175" fontId="0" fillId="33" borderId="24" xfId="0" applyNumberFormat="1" applyFill="1" applyBorder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174" fontId="0" fillId="33" borderId="11" xfId="0" applyNumberFormat="1" applyFill="1" applyBorder="1" applyAlignment="1">
      <alignment horizontal="center"/>
    </xf>
    <xf numFmtId="175" fontId="0" fillId="33" borderId="13" xfId="0" applyNumberFormat="1" applyFill="1" applyBorder="1" applyAlignment="1">
      <alignment/>
    </xf>
    <xf numFmtId="175" fontId="0" fillId="33" borderId="26" xfId="0" applyNumberFormat="1" applyFont="1" applyFill="1" applyBorder="1" applyAlignment="1">
      <alignment/>
    </xf>
    <xf numFmtId="175" fontId="0" fillId="33" borderId="13" xfId="0" applyNumberFormat="1" applyFont="1" applyFill="1" applyBorder="1" applyAlignment="1">
      <alignment horizontal="center"/>
    </xf>
    <xf numFmtId="175" fontId="0" fillId="33" borderId="31" xfId="0" applyNumberFormat="1" applyFill="1" applyBorder="1" applyAlignment="1">
      <alignment/>
    </xf>
    <xf numFmtId="175" fontId="0" fillId="33" borderId="19" xfId="0" applyNumberFormat="1" applyFont="1" applyFill="1" applyBorder="1" applyAlignment="1">
      <alignment/>
    </xf>
    <xf numFmtId="175" fontId="0" fillId="33" borderId="19" xfId="0" applyNumberFormat="1" applyFill="1" applyBorder="1" applyAlignment="1">
      <alignment horizontal="center"/>
    </xf>
    <xf numFmtId="175" fontId="0" fillId="33" borderId="13" xfId="0" applyNumberFormat="1" applyFill="1" applyBorder="1" applyAlignment="1">
      <alignment horizontal="center"/>
    </xf>
    <xf numFmtId="175" fontId="0" fillId="33" borderId="39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75" fontId="0" fillId="33" borderId="10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174" fontId="1" fillId="33" borderId="25" xfId="0" applyNumberFormat="1" applyFont="1" applyFill="1" applyBorder="1" applyAlignment="1">
      <alignment horizontal="center"/>
    </xf>
    <xf numFmtId="175" fontId="1" fillId="33" borderId="38" xfId="0" applyNumberFormat="1" applyFont="1" applyFill="1" applyBorder="1" applyAlignment="1">
      <alignment horizontal="center"/>
    </xf>
    <xf numFmtId="174" fontId="40" fillId="33" borderId="38" xfId="0" applyNumberFormat="1" applyFont="1" applyFill="1" applyBorder="1" applyAlignment="1">
      <alignment horizontal="center"/>
    </xf>
    <xf numFmtId="174" fontId="1" fillId="35" borderId="25" xfId="0" applyNumberFormat="1" applyFont="1" applyFill="1" applyBorder="1" applyAlignment="1">
      <alignment horizontal="center"/>
    </xf>
    <xf numFmtId="174" fontId="1" fillId="33" borderId="29" xfId="0" applyNumberFormat="1" applyFont="1" applyFill="1" applyBorder="1" applyAlignment="1">
      <alignment horizontal="center"/>
    </xf>
    <xf numFmtId="175" fontId="1" fillId="33" borderId="43" xfId="0" applyNumberFormat="1" applyFont="1" applyFill="1" applyBorder="1" applyAlignment="1">
      <alignment horizontal="center"/>
    </xf>
    <xf numFmtId="175" fontId="1" fillId="33" borderId="46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175" fontId="1" fillId="33" borderId="45" xfId="0" applyNumberFormat="1" applyFont="1" applyFill="1" applyBorder="1" applyAlignment="1">
      <alignment horizontal="center"/>
    </xf>
    <xf numFmtId="175" fontId="1" fillId="33" borderId="18" xfId="0" applyNumberFormat="1" applyFont="1" applyFill="1" applyBorder="1" applyAlignment="1">
      <alignment horizontal="center"/>
    </xf>
    <xf numFmtId="174" fontId="1" fillId="33" borderId="36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75" fontId="1" fillId="33" borderId="29" xfId="0" applyNumberFormat="1" applyFont="1" applyFill="1" applyBorder="1" applyAlignment="1">
      <alignment horizontal="center"/>
    </xf>
    <xf numFmtId="175" fontId="1" fillId="33" borderId="36" xfId="0" applyNumberFormat="1" applyFont="1" applyFill="1" applyBorder="1" applyAlignment="1">
      <alignment horizontal="center"/>
    </xf>
    <xf numFmtId="175" fontId="1" fillId="0" borderId="38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wrapText="1"/>
    </xf>
    <xf numFmtId="0" fontId="0" fillId="34" borderId="43" xfId="0" applyFill="1" applyBorder="1" applyAlignment="1">
      <alignment wrapText="1"/>
    </xf>
    <xf numFmtId="0" fontId="0" fillId="34" borderId="40" xfId="0" applyFill="1" applyBorder="1" applyAlignment="1">
      <alignment wrapText="1"/>
    </xf>
    <xf numFmtId="0" fontId="0" fillId="34" borderId="49" xfId="0" applyFill="1" applyBorder="1" applyAlignment="1">
      <alignment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J5" sqref="J5:O5"/>
    </sheetView>
  </sheetViews>
  <sheetFormatPr defaultColWidth="9.75390625" defaultRowHeight="12.75"/>
  <cols>
    <col min="1" max="1" width="25.875" style="0" customWidth="1"/>
    <col min="2" max="2" width="0.12890625" style="0" customWidth="1"/>
    <col min="3" max="3" width="12.375" style="0" customWidth="1"/>
    <col min="4" max="4" width="11.375" style="0" customWidth="1"/>
    <col min="5" max="5" width="12.25390625" style="0" customWidth="1"/>
    <col min="6" max="7" width="8.625" style="0" customWidth="1"/>
    <col min="8" max="8" width="9.875" style="0" customWidth="1"/>
    <col min="9" max="9" width="8.75390625" style="0" customWidth="1"/>
    <col min="10" max="10" width="0.12890625" style="0" customWidth="1"/>
    <col min="11" max="12" width="9.875" style="0" customWidth="1"/>
    <col min="13" max="13" width="8.125" style="0" customWidth="1"/>
    <col min="14" max="14" width="6.875" style="0" customWidth="1"/>
    <col min="15" max="15" width="8.00390625" style="0" customWidth="1"/>
    <col min="16" max="16" width="10.625" style="0" customWidth="1"/>
    <col min="17" max="17" width="10.125" style="0" customWidth="1"/>
    <col min="18" max="18" width="0.2421875" style="0" customWidth="1"/>
    <col min="19" max="19" width="10.25390625" style="0" customWidth="1"/>
    <col min="20" max="20" width="9.75390625" style="0" customWidth="1"/>
    <col min="21" max="21" width="9.125" style="0" customWidth="1"/>
    <col min="22" max="23" width="7.875" style="0" customWidth="1"/>
    <col min="24" max="24" width="8.625" style="0" customWidth="1"/>
    <col min="25" max="25" width="8.875" style="0" hidden="1" customWidth="1"/>
    <col min="26" max="26" width="11.125" style="0" customWidth="1"/>
    <col min="27" max="27" width="9.875" style="0" customWidth="1"/>
    <col min="28" max="28" width="8.375" style="0" customWidth="1"/>
    <col min="29" max="29" width="8.00390625" style="0" customWidth="1"/>
    <col min="30" max="30" width="0.12890625" style="0" customWidth="1"/>
    <col min="31" max="31" width="11.125" style="0" customWidth="1"/>
    <col min="32" max="32" width="10.25390625" style="0" customWidth="1"/>
    <col min="33" max="33" width="9.75390625" style="0" customWidth="1"/>
    <col min="34" max="34" width="6.25390625" style="0" customWidth="1"/>
    <col min="35" max="35" width="0.12890625" style="0" customWidth="1"/>
    <col min="36" max="36" width="10.25390625" style="0" customWidth="1"/>
    <col min="37" max="37" width="9.875" style="0" customWidth="1"/>
    <col min="38" max="38" width="8.875" style="0" customWidth="1"/>
    <col min="39" max="39" width="6.75390625" style="0" customWidth="1"/>
    <col min="40" max="40" width="9.625" style="0" hidden="1" customWidth="1"/>
    <col min="41" max="41" width="10.75390625" style="0" customWidth="1"/>
    <col min="42" max="43" width="9.875" style="0" customWidth="1"/>
    <col min="44" max="44" width="6.875" style="0" customWidth="1"/>
    <col min="45" max="45" width="8.00390625" style="0" customWidth="1"/>
    <col min="46" max="46" width="8.375" style="0" customWidth="1"/>
    <col min="47" max="47" width="8.125" style="0" hidden="1" customWidth="1"/>
    <col min="48" max="48" width="14.375" style="0" hidden="1" customWidth="1"/>
    <col min="49" max="49" width="19.625" style="0" hidden="1" customWidth="1"/>
    <col min="50" max="50" width="9.75390625" style="0" customWidth="1"/>
    <col min="51" max="51" width="10.375" style="0" customWidth="1"/>
    <col min="52" max="52" width="9.625" style="0" customWidth="1"/>
    <col min="53" max="53" width="8.25390625" style="0" customWidth="1"/>
    <col min="54" max="54" width="0.12890625" style="0" customWidth="1"/>
    <col min="55" max="55" width="13.125" style="0" hidden="1" customWidth="1"/>
    <col min="56" max="57" width="14.875" style="0" hidden="1" customWidth="1"/>
    <col min="58" max="59" width="9.75390625" style="0" customWidth="1"/>
    <col min="60" max="60" width="8.125" style="0" customWidth="1"/>
    <col min="61" max="61" width="6.00390625" style="0" customWidth="1"/>
    <col min="62" max="62" width="9.375" style="0" hidden="1" customWidth="1"/>
    <col min="63" max="63" width="13.625" style="0" hidden="1" customWidth="1"/>
    <col min="64" max="64" width="12.75390625" style="0" hidden="1" customWidth="1"/>
    <col min="65" max="65" width="9.125" style="0" hidden="1" customWidth="1"/>
    <col min="66" max="66" width="10.125" style="0" customWidth="1"/>
    <col min="67" max="67" width="10.625" style="0" customWidth="1"/>
    <col min="68" max="68" width="8.375" style="0" customWidth="1"/>
    <col min="69" max="69" width="7.125" style="0" customWidth="1"/>
    <col min="70" max="70" width="0.2421875" style="0" hidden="1" customWidth="1"/>
    <col min="71" max="71" width="13.00390625" style="0" hidden="1" customWidth="1"/>
    <col min="72" max="72" width="14.75390625" style="0" hidden="1" customWidth="1"/>
    <col min="73" max="73" width="9.125" style="0" hidden="1" customWidth="1"/>
    <col min="74" max="74" width="9.75390625" style="0" customWidth="1"/>
    <col min="75" max="75" width="10.25390625" style="0" customWidth="1"/>
    <col min="76" max="76" width="9.125" style="0" customWidth="1"/>
    <col min="77" max="77" width="8.25390625" style="0" customWidth="1"/>
    <col min="78" max="78" width="0.12890625" style="0" customWidth="1"/>
    <col min="79" max="79" width="10.75390625" style="0" customWidth="1"/>
    <col min="80" max="80" width="10.00390625" style="0" customWidth="1"/>
    <col min="81" max="81" width="9.125" style="0" customWidth="1"/>
    <col min="82" max="85" width="8.25390625" style="0" customWidth="1"/>
    <col min="86" max="86" width="9.625" style="0" hidden="1" customWidth="1"/>
    <col min="87" max="87" width="13.25390625" style="0" hidden="1" customWidth="1"/>
    <col min="88" max="88" width="13.375" style="0" hidden="1" customWidth="1"/>
    <col min="89" max="89" width="9.125" style="0" hidden="1" customWidth="1"/>
    <col min="90" max="90" width="10.875" style="0" customWidth="1"/>
    <col min="91" max="91" width="11.00390625" style="0" customWidth="1"/>
    <col min="92" max="92" width="9.125" style="0" customWidth="1"/>
    <col min="93" max="93" width="7.375" style="0" customWidth="1"/>
    <col min="94" max="94" width="0.12890625" style="0" customWidth="1"/>
    <col min="95" max="95" width="18.00390625" style="0" hidden="1" customWidth="1"/>
    <col min="96" max="96" width="15.25390625" style="0" hidden="1" customWidth="1"/>
    <col min="97" max="97" width="9.125" style="0" hidden="1" customWidth="1"/>
    <col min="98" max="98" width="10.00390625" style="0" customWidth="1"/>
    <col min="99" max="99" width="10.375" style="0" customWidth="1"/>
    <col min="100" max="100" width="9.375" style="0" customWidth="1"/>
    <col min="101" max="101" width="8.25390625" style="0" customWidth="1"/>
    <col min="102" max="102" width="0.12890625" style="0" customWidth="1"/>
    <col min="103" max="103" width="16.125" style="0" hidden="1" customWidth="1"/>
    <col min="104" max="104" width="13.875" style="0" hidden="1" customWidth="1"/>
    <col min="105" max="105" width="9.125" style="0" hidden="1" customWidth="1"/>
    <col min="106" max="106" width="10.00390625" style="0" customWidth="1"/>
    <col min="107" max="107" width="10.375" style="0" customWidth="1"/>
    <col min="108" max="108" width="9.125" style="0" customWidth="1"/>
    <col min="109" max="109" width="7.25390625" style="0" customWidth="1"/>
    <col min="110" max="110" width="8.75390625" style="0" hidden="1" customWidth="1"/>
    <col min="111" max="111" width="15.25390625" style="0" hidden="1" customWidth="1"/>
    <col min="112" max="112" width="14.00390625" style="0" hidden="1" customWidth="1"/>
    <col min="113" max="113" width="9.125" style="0" hidden="1" customWidth="1"/>
    <col min="114" max="114" width="10.75390625" style="0" hidden="1" customWidth="1"/>
    <col min="115" max="115" width="11.375" style="0" hidden="1" customWidth="1"/>
    <col min="116" max="116" width="11.875" style="0" hidden="1" customWidth="1"/>
    <col min="117" max="117" width="9.125" style="0" hidden="1" customWidth="1"/>
    <col min="118" max="118" width="11.00390625" style="0" hidden="1" customWidth="1"/>
    <col min="119" max="119" width="12.125" style="0" hidden="1" customWidth="1"/>
    <col min="120" max="120" width="12.25390625" style="0" hidden="1" customWidth="1"/>
    <col min="121" max="121" width="9.125" style="0" hidden="1" customWidth="1"/>
    <col min="122" max="122" width="22.00390625" style="0" hidden="1" customWidth="1"/>
    <col min="123" max="123" width="14.875" style="0" hidden="1" customWidth="1"/>
    <col min="124" max="124" width="13.00390625" style="0" hidden="1" customWidth="1"/>
    <col min="125" max="125" width="9.125" style="0" hidden="1" customWidth="1"/>
    <col min="126" max="126" width="10.75390625" style="0" customWidth="1"/>
    <col min="127" max="127" width="10.25390625" style="0" customWidth="1"/>
    <col min="128" max="128" width="9.875" style="0" customWidth="1"/>
    <col min="129" max="129" width="7.625" style="0" customWidth="1"/>
    <col min="130" max="130" width="0.12890625" style="0" customWidth="1"/>
    <col min="131" max="131" width="10.00390625" style="0" customWidth="1"/>
    <col min="132" max="132" width="10.875" style="0" customWidth="1"/>
    <col min="133" max="133" width="9.375" style="0" customWidth="1"/>
    <col min="134" max="134" width="7.75390625" style="0" customWidth="1"/>
    <col min="135" max="135" width="11.75390625" style="0" hidden="1" customWidth="1"/>
    <col min="136" max="136" width="10.00390625" style="0" customWidth="1"/>
    <col min="137" max="137" width="11.25390625" style="0" customWidth="1"/>
    <col min="138" max="138" width="9.75390625" style="0" customWidth="1"/>
    <col min="139" max="139" width="9.25390625" style="0" customWidth="1"/>
    <col min="140" max="140" width="8.75390625" style="0" customWidth="1"/>
    <col min="141" max="142" width="7.875" style="0" customWidth="1"/>
    <col min="143" max="143" width="0.12890625" style="0" customWidth="1"/>
    <col min="144" max="144" width="14.25390625" style="0" hidden="1" customWidth="1"/>
    <col min="145" max="145" width="16.875" style="0" hidden="1" customWidth="1"/>
    <col min="146" max="146" width="9.125" style="0" hidden="1" customWidth="1"/>
    <col min="147" max="147" width="10.75390625" style="0" hidden="1" customWidth="1"/>
    <col min="148" max="148" width="0.37109375" style="0" hidden="1" customWidth="1"/>
    <col min="149" max="149" width="13.875" style="0" hidden="1" customWidth="1"/>
    <col min="150" max="150" width="9.125" style="0" hidden="1" customWidth="1"/>
    <col min="151" max="151" width="11.00390625" style="0" customWidth="1"/>
    <col min="152" max="152" width="11.125" style="0" customWidth="1"/>
    <col min="153" max="153" width="9.25390625" style="0" customWidth="1"/>
    <col min="154" max="154" width="8.125" style="0" customWidth="1"/>
    <col min="155" max="155" width="9.75390625" style="0" hidden="1" customWidth="1"/>
    <col min="156" max="157" width="9.75390625" style="0" customWidth="1"/>
    <col min="158" max="158" width="10.25390625" style="0" customWidth="1"/>
    <col min="159" max="159" width="7.625" style="0" customWidth="1"/>
    <col min="160" max="160" width="11.125" style="0" hidden="1" customWidth="1"/>
    <col min="161" max="161" width="15.25390625" style="0" hidden="1" customWidth="1"/>
    <col min="162" max="162" width="13.625" style="0" hidden="1" customWidth="1"/>
    <col min="163" max="164" width="10.125" style="0" customWidth="1"/>
    <col min="165" max="165" width="9.125" style="0" customWidth="1"/>
    <col min="166" max="166" width="7.75390625" style="0" customWidth="1"/>
    <col min="167" max="167" width="0.12890625" style="0" customWidth="1"/>
    <col min="168" max="168" width="10.125" style="0" customWidth="1"/>
    <col min="169" max="169" width="9.875" style="0" customWidth="1"/>
    <col min="170" max="170" width="7.125" style="0" customWidth="1"/>
    <col min="171" max="171" width="7.25390625" style="0" customWidth="1"/>
    <col min="172" max="172" width="8.25390625" style="0" hidden="1" customWidth="1"/>
    <col min="173" max="173" width="14.125" style="0" hidden="1" customWidth="1"/>
    <col min="174" max="174" width="13.125" style="0" hidden="1" customWidth="1"/>
    <col min="175" max="175" width="9.125" style="0" hidden="1" customWidth="1"/>
    <col min="176" max="176" width="12.00390625" style="0" hidden="1" customWidth="1"/>
    <col min="177" max="177" width="13.875" style="0" hidden="1" customWidth="1"/>
    <col min="178" max="178" width="11.625" style="0" hidden="1" customWidth="1"/>
    <col min="179" max="179" width="9.125" style="0" hidden="1" customWidth="1"/>
    <col min="180" max="180" width="13.25390625" style="0" hidden="1" customWidth="1"/>
    <col min="181" max="181" width="13.00390625" style="0" hidden="1" customWidth="1"/>
    <col min="182" max="182" width="11.125" style="0" hidden="1" customWidth="1"/>
    <col min="183" max="183" width="9.125" style="0" hidden="1" customWidth="1"/>
    <col min="184" max="184" width="12.00390625" style="0" hidden="1" customWidth="1"/>
    <col min="185" max="186" width="13.125" style="0" hidden="1" customWidth="1"/>
    <col min="187" max="187" width="9.125" style="0" hidden="1" customWidth="1"/>
    <col min="188" max="188" width="0.12890625" style="0" hidden="1" customWidth="1"/>
    <col min="189" max="189" width="13.625" style="0" hidden="1" customWidth="1"/>
    <col min="190" max="190" width="11.625" style="0" hidden="1" customWidth="1"/>
    <col min="191" max="191" width="9.125" style="0" hidden="1" customWidth="1"/>
    <col min="192" max="192" width="11.00390625" style="0" hidden="1" customWidth="1"/>
    <col min="193" max="193" width="16.00390625" style="0" hidden="1" customWidth="1"/>
    <col min="194" max="194" width="12.00390625" style="0" hidden="1" customWidth="1"/>
    <col min="195" max="195" width="9.125" style="0" hidden="1" customWidth="1"/>
    <col min="196" max="196" width="11.875" style="0" hidden="1" customWidth="1"/>
    <col min="197" max="197" width="15.125" style="0" hidden="1" customWidth="1"/>
    <col min="198" max="198" width="16.375" style="0" hidden="1" customWidth="1"/>
    <col min="199" max="199" width="9.125" style="0" hidden="1" customWidth="1"/>
    <col min="200" max="200" width="11.125" style="0" hidden="1" customWidth="1"/>
    <col min="201" max="201" width="13.125" style="0" hidden="1" customWidth="1"/>
    <col min="202" max="202" width="11.375" style="0" hidden="1" customWidth="1"/>
    <col min="203" max="203" width="9.00390625" style="0" hidden="1" customWidth="1"/>
    <col min="204" max="205" width="12.25390625" style="0" hidden="1" customWidth="1"/>
    <col min="206" max="206" width="13.375" style="0" hidden="1" customWidth="1"/>
    <col min="207" max="207" width="9.125" style="0" hidden="1" customWidth="1"/>
    <col min="208" max="208" width="18.25390625" style="0" hidden="1" customWidth="1"/>
    <col min="209" max="209" width="17.875" style="0" hidden="1" customWidth="1"/>
    <col min="210" max="210" width="14.75390625" style="0" hidden="1" customWidth="1"/>
    <col min="211" max="211" width="10.00390625" style="0" customWidth="1"/>
    <col min="212" max="212" width="10.125" style="0" customWidth="1"/>
    <col min="213" max="213" width="8.00390625" style="0" customWidth="1"/>
    <col min="214" max="214" width="7.125" style="0" customWidth="1"/>
    <col min="215" max="215" width="0.12890625" style="0" customWidth="1"/>
    <col min="216" max="216" width="10.625" style="0" customWidth="1"/>
    <col min="217" max="217" width="9.75390625" style="0" customWidth="1"/>
    <col min="218" max="218" width="9.125" style="0" customWidth="1"/>
    <col min="219" max="219" width="7.625" style="0" customWidth="1"/>
    <col min="220" max="220" width="6.75390625" style="0" hidden="1" customWidth="1"/>
    <col min="221" max="221" width="9.75390625" style="0" customWidth="1"/>
    <col min="222" max="222" width="9.25390625" style="0" customWidth="1"/>
    <col min="223" max="223" width="8.625" style="0" customWidth="1"/>
    <col min="224" max="224" width="7.25390625" style="0" customWidth="1"/>
    <col min="225" max="225" width="8.625" style="0" hidden="1" customWidth="1"/>
    <col min="226" max="226" width="9.875" style="0" customWidth="1"/>
    <col min="227" max="228" width="9.75390625" style="0" customWidth="1"/>
    <col min="229" max="229" width="7.625" style="0" customWidth="1"/>
    <col min="230" max="230" width="9.75390625" style="0" hidden="1" customWidth="1"/>
    <col min="231" max="231" width="9.75390625" style="0" customWidth="1"/>
    <col min="232" max="232" width="9.375" style="0" customWidth="1"/>
    <col min="233" max="233" width="4.625" style="0" hidden="1" customWidth="1"/>
    <col min="234" max="234" width="11.375" style="0" customWidth="1"/>
    <col min="235" max="236" width="10.25390625" style="0" customWidth="1"/>
    <col min="237" max="238" width="7.875" style="0" customWidth="1"/>
    <col min="239" max="239" width="8.375" style="0" hidden="1" customWidth="1"/>
    <col min="240" max="240" width="9.75390625" style="0" customWidth="1"/>
    <col min="241" max="241" width="11.375" style="0" customWidth="1"/>
    <col min="242" max="242" width="11.125" style="0" customWidth="1"/>
  </cols>
  <sheetData>
    <row r="1" ht="15.75">
      <c r="P1" s="219" t="s">
        <v>74</v>
      </c>
    </row>
    <row r="2" spans="1:18" ht="18">
      <c r="A2" s="1"/>
      <c r="B2" s="1"/>
      <c r="C2" s="14" t="s">
        <v>65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238" ht="18">
      <c r="A3" s="14"/>
      <c r="HY3" s="14"/>
      <c r="HZ3" s="14"/>
      <c r="IA3" s="14"/>
      <c r="IB3" s="14"/>
      <c r="IC3" s="14"/>
      <c r="ID3" s="14"/>
    </row>
    <row r="4" spans="10:238" ht="18.75" thickBot="1">
      <c r="J4" s="15"/>
      <c r="K4" s="15"/>
      <c r="L4" s="15"/>
      <c r="M4" s="15"/>
      <c r="N4" s="15"/>
      <c r="O4" s="15"/>
      <c r="P4" s="122" t="s">
        <v>64</v>
      </c>
      <c r="Q4" s="122"/>
      <c r="EE4" s="122"/>
      <c r="EF4" s="122"/>
      <c r="EG4" s="122"/>
      <c r="EH4" s="122"/>
      <c r="EI4" s="122"/>
      <c r="EJ4" s="122"/>
      <c r="HY4" s="83"/>
      <c r="HZ4" s="83"/>
      <c r="IA4" s="83"/>
      <c r="IB4" s="83"/>
      <c r="IC4" s="83"/>
      <c r="ID4" s="83"/>
    </row>
    <row r="5" spans="1:243" ht="105" customHeight="1" thickBot="1">
      <c r="A5" s="95" t="s">
        <v>32</v>
      </c>
      <c r="B5" s="197" t="s">
        <v>30</v>
      </c>
      <c r="C5" s="198"/>
      <c r="D5" s="198"/>
      <c r="E5" s="198"/>
      <c r="F5" s="198"/>
      <c r="G5" s="198"/>
      <c r="H5" s="198"/>
      <c r="I5" s="131"/>
      <c r="J5" s="194" t="s">
        <v>31</v>
      </c>
      <c r="K5" s="195"/>
      <c r="L5" s="195"/>
      <c r="M5" s="195"/>
      <c r="N5" s="195"/>
      <c r="O5" s="196"/>
      <c r="P5" s="119">
        <v>13030100</v>
      </c>
      <c r="Q5" s="132" t="s">
        <v>42</v>
      </c>
      <c r="R5" s="197" t="s">
        <v>34</v>
      </c>
      <c r="S5" s="198"/>
      <c r="T5" s="198"/>
      <c r="U5" s="198"/>
      <c r="V5" s="198"/>
      <c r="W5" s="198"/>
      <c r="X5" s="200"/>
      <c r="Y5" s="194" t="s">
        <v>18</v>
      </c>
      <c r="Z5" s="195"/>
      <c r="AA5" s="195"/>
      <c r="AB5" s="195"/>
      <c r="AC5" s="195"/>
      <c r="AD5" s="194" t="s">
        <v>19</v>
      </c>
      <c r="AE5" s="195"/>
      <c r="AF5" s="195"/>
      <c r="AG5" s="195"/>
      <c r="AH5" s="195"/>
      <c r="AI5" s="194" t="s">
        <v>39</v>
      </c>
      <c r="AJ5" s="195"/>
      <c r="AK5" s="195"/>
      <c r="AL5" s="195"/>
      <c r="AM5" s="195"/>
      <c r="AN5" s="197" t="s">
        <v>46</v>
      </c>
      <c r="AO5" s="198"/>
      <c r="AP5" s="198"/>
      <c r="AQ5" s="198"/>
      <c r="AR5" s="198"/>
      <c r="AS5" s="126"/>
      <c r="AT5" s="106"/>
      <c r="AU5" s="199" t="s">
        <v>2</v>
      </c>
      <c r="AV5" s="199"/>
      <c r="AW5" s="199"/>
      <c r="AX5" s="199"/>
      <c r="AY5" s="199"/>
      <c r="AZ5" s="199"/>
      <c r="BA5" s="199"/>
      <c r="BB5" s="204" t="s">
        <v>3</v>
      </c>
      <c r="BC5" s="199"/>
      <c r="BD5" s="199"/>
      <c r="BE5" s="199"/>
      <c r="BF5" s="199"/>
      <c r="BG5" s="199"/>
      <c r="BH5" s="199"/>
      <c r="BI5" s="205"/>
      <c r="BJ5" s="204" t="s">
        <v>11</v>
      </c>
      <c r="BK5" s="199"/>
      <c r="BL5" s="199"/>
      <c r="BM5" s="199"/>
      <c r="BN5" s="199"/>
      <c r="BO5" s="199"/>
      <c r="BP5" s="199"/>
      <c r="BQ5" s="199"/>
      <c r="BR5" s="204" t="s">
        <v>4</v>
      </c>
      <c r="BS5" s="199"/>
      <c r="BT5" s="199"/>
      <c r="BU5" s="199"/>
      <c r="BV5" s="199"/>
      <c r="BW5" s="199"/>
      <c r="BX5" s="199"/>
      <c r="BY5" s="199"/>
      <c r="BZ5" s="197" t="s">
        <v>73</v>
      </c>
      <c r="CA5" s="198"/>
      <c r="CB5" s="198"/>
      <c r="CC5" s="198"/>
      <c r="CD5" s="198"/>
      <c r="CE5" s="198"/>
      <c r="CF5" s="198"/>
      <c r="CG5" s="200"/>
      <c r="CH5" s="199" t="s">
        <v>5</v>
      </c>
      <c r="CI5" s="199"/>
      <c r="CJ5" s="199"/>
      <c r="CK5" s="199"/>
      <c r="CL5" s="199"/>
      <c r="CM5" s="199"/>
      <c r="CN5" s="199"/>
      <c r="CO5" s="205"/>
      <c r="CP5" s="204" t="s">
        <v>6</v>
      </c>
      <c r="CQ5" s="199"/>
      <c r="CR5" s="199"/>
      <c r="CS5" s="199"/>
      <c r="CT5" s="199"/>
      <c r="CU5" s="199"/>
      <c r="CV5" s="199"/>
      <c r="CW5" s="205"/>
      <c r="CX5" s="204" t="s">
        <v>7</v>
      </c>
      <c r="CY5" s="199"/>
      <c r="CZ5" s="199"/>
      <c r="DA5" s="199"/>
      <c r="DB5" s="199"/>
      <c r="DC5" s="199"/>
      <c r="DD5" s="199"/>
      <c r="DE5" s="205"/>
      <c r="DF5" s="204" t="s">
        <v>8</v>
      </c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206" t="s">
        <v>20</v>
      </c>
      <c r="EA5" s="207"/>
      <c r="EB5" s="207"/>
      <c r="EC5" s="207"/>
      <c r="ED5" s="207"/>
      <c r="EE5" s="197" t="s">
        <v>13</v>
      </c>
      <c r="EF5" s="198"/>
      <c r="EG5" s="198"/>
      <c r="EH5" s="198"/>
      <c r="EI5" s="198"/>
      <c r="EJ5" s="198"/>
      <c r="EK5" s="198"/>
      <c r="EL5" s="106"/>
      <c r="EM5" s="199" t="s">
        <v>9</v>
      </c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205"/>
      <c r="EY5" s="204" t="s">
        <v>12</v>
      </c>
      <c r="EZ5" s="199"/>
      <c r="FA5" s="199"/>
      <c r="FB5" s="199"/>
      <c r="FC5" s="205"/>
      <c r="FD5" s="204" t="s">
        <v>10</v>
      </c>
      <c r="FE5" s="199"/>
      <c r="FF5" s="199"/>
      <c r="FG5" s="199"/>
      <c r="FH5" s="199"/>
      <c r="FI5" s="199"/>
      <c r="FJ5" s="205"/>
      <c r="FK5" s="201" t="s">
        <v>63</v>
      </c>
      <c r="FL5" s="202"/>
      <c r="FM5" s="202"/>
      <c r="FN5" s="202"/>
      <c r="FO5" s="203"/>
      <c r="FP5" s="201" t="s">
        <v>14</v>
      </c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12" t="s">
        <v>16</v>
      </c>
      <c r="HH5" s="213"/>
      <c r="HI5" s="213"/>
      <c r="HJ5" s="213"/>
      <c r="HK5" s="214"/>
      <c r="HL5" s="212" t="s">
        <v>15</v>
      </c>
      <c r="HM5" s="213"/>
      <c r="HN5" s="213"/>
      <c r="HO5" s="213"/>
      <c r="HP5" s="214"/>
      <c r="HQ5" s="215" t="s">
        <v>60</v>
      </c>
      <c r="HR5" s="216"/>
      <c r="HS5" s="216"/>
      <c r="HT5" s="217"/>
      <c r="HU5" s="218"/>
      <c r="HV5" s="136">
        <v>18041400</v>
      </c>
      <c r="HW5" s="143">
        <v>21010300</v>
      </c>
      <c r="HX5" s="143">
        <v>30000000</v>
      </c>
      <c r="HY5" s="208" t="s">
        <v>17</v>
      </c>
      <c r="HZ5" s="209"/>
      <c r="IA5" s="209"/>
      <c r="IB5" s="209"/>
      <c r="IC5" s="209"/>
      <c r="ID5" s="209"/>
      <c r="IE5" s="209"/>
      <c r="IF5" s="209"/>
      <c r="IG5" s="209"/>
      <c r="IH5" s="209"/>
      <c r="II5" s="210"/>
    </row>
    <row r="6" spans="1:243" ht="78.75" customHeight="1" thickBot="1">
      <c r="A6" s="67"/>
      <c r="B6" s="44" t="s">
        <v>56</v>
      </c>
      <c r="C6" s="44" t="s">
        <v>66</v>
      </c>
      <c r="D6" s="44" t="s">
        <v>67</v>
      </c>
      <c r="E6" s="44" t="s">
        <v>36</v>
      </c>
      <c r="F6" s="44" t="s">
        <v>37</v>
      </c>
      <c r="G6" s="44" t="s">
        <v>47</v>
      </c>
      <c r="H6" s="44" t="s">
        <v>38</v>
      </c>
      <c r="I6" s="44" t="s">
        <v>55</v>
      </c>
      <c r="J6" s="44" t="s">
        <v>56</v>
      </c>
      <c r="K6" s="44" t="s">
        <v>66</v>
      </c>
      <c r="L6" s="44" t="s">
        <v>67</v>
      </c>
      <c r="M6" s="115" t="s">
        <v>36</v>
      </c>
      <c r="N6" s="44" t="s">
        <v>37</v>
      </c>
      <c r="O6" s="44" t="s">
        <v>44</v>
      </c>
      <c r="P6" s="44" t="s">
        <v>68</v>
      </c>
      <c r="Q6" s="44" t="s">
        <v>68</v>
      </c>
      <c r="R6" s="44" t="s">
        <v>56</v>
      </c>
      <c r="S6" s="44" t="s">
        <v>66</v>
      </c>
      <c r="T6" s="44" t="s">
        <v>67</v>
      </c>
      <c r="U6" s="44" t="s">
        <v>36</v>
      </c>
      <c r="V6" s="44" t="s">
        <v>49</v>
      </c>
      <c r="W6" s="44" t="s">
        <v>47</v>
      </c>
      <c r="X6" s="44" t="s">
        <v>45</v>
      </c>
      <c r="Y6" s="44" t="s">
        <v>56</v>
      </c>
      <c r="Z6" s="44" t="s">
        <v>66</v>
      </c>
      <c r="AA6" s="44" t="s">
        <v>67</v>
      </c>
      <c r="AB6" s="44" t="s">
        <v>36</v>
      </c>
      <c r="AC6" s="44" t="s">
        <v>40</v>
      </c>
      <c r="AD6" s="44" t="s">
        <v>56</v>
      </c>
      <c r="AE6" s="44" t="s">
        <v>66</v>
      </c>
      <c r="AF6" s="44" t="s">
        <v>67</v>
      </c>
      <c r="AG6" s="44" t="s">
        <v>36</v>
      </c>
      <c r="AH6" s="44" t="s">
        <v>59</v>
      </c>
      <c r="AI6" s="44" t="s">
        <v>56</v>
      </c>
      <c r="AJ6" s="44" t="s">
        <v>66</v>
      </c>
      <c r="AK6" s="44" t="s">
        <v>67</v>
      </c>
      <c r="AL6" s="44" t="s">
        <v>36</v>
      </c>
      <c r="AM6" s="44" t="s">
        <v>40</v>
      </c>
      <c r="AN6" s="44" t="s">
        <v>56</v>
      </c>
      <c r="AO6" s="44" t="s">
        <v>66</v>
      </c>
      <c r="AP6" s="44" t="s">
        <v>67</v>
      </c>
      <c r="AQ6" s="107" t="s">
        <v>36</v>
      </c>
      <c r="AR6" s="107" t="s">
        <v>50</v>
      </c>
      <c r="AS6" s="107" t="s">
        <v>51</v>
      </c>
      <c r="AT6" s="44" t="s">
        <v>38</v>
      </c>
      <c r="AU6" s="44" t="s">
        <v>56</v>
      </c>
      <c r="AV6" s="44" t="s">
        <v>35</v>
      </c>
      <c r="AW6" s="44" t="s">
        <v>33</v>
      </c>
      <c r="AX6" s="44" t="s">
        <v>66</v>
      </c>
      <c r="AY6" s="44" t="s">
        <v>67</v>
      </c>
      <c r="AZ6" s="44" t="s">
        <v>36</v>
      </c>
      <c r="BA6" s="44" t="s">
        <v>40</v>
      </c>
      <c r="BB6" s="44" t="s">
        <v>56</v>
      </c>
      <c r="BC6" s="44" t="s">
        <v>35</v>
      </c>
      <c r="BD6" s="44" t="s">
        <v>33</v>
      </c>
      <c r="BE6" s="44" t="s">
        <v>35</v>
      </c>
      <c r="BF6" s="44" t="s">
        <v>66</v>
      </c>
      <c r="BG6" s="44" t="s">
        <v>67</v>
      </c>
      <c r="BH6" s="44" t="s">
        <v>36</v>
      </c>
      <c r="BI6" s="44" t="s">
        <v>40</v>
      </c>
      <c r="BJ6" s="44" t="s">
        <v>56</v>
      </c>
      <c r="BK6" s="44" t="s">
        <v>35</v>
      </c>
      <c r="BL6" s="44" t="s">
        <v>33</v>
      </c>
      <c r="BM6" s="44" t="s">
        <v>35</v>
      </c>
      <c r="BN6" s="44" t="s">
        <v>66</v>
      </c>
      <c r="BO6" s="44" t="s">
        <v>67</v>
      </c>
      <c r="BP6" s="44" t="s">
        <v>36</v>
      </c>
      <c r="BQ6" s="44" t="s">
        <v>40</v>
      </c>
      <c r="BR6" s="44" t="s">
        <v>56</v>
      </c>
      <c r="BS6" s="44" t="s">
        <v>35</v>
      </c>
      <c r="BT6" s="44" t="s">
        <v>33</v>
      </c>
      <c r="BU6" s="44" t="s">
        <v>35</v>
      </c>
      <c r="BV6" s="44" t="s">
        <v>66</v>
      </c>
      <c r="BW6" s="44" t="s">
        <v>67</v>
      </c>
      <c r="BX6" s="44" t="s">
        <v>36</v>
      </c>
      <c r="BY6" s="44" t="s">
        <v>40</v>
      </c>
      <c r="BZ6" s="44" t="s">
        <v>56</v>
      </c>
      <c r="CA6" s="44" t="s">
        <v>66</v>
      </c>
      <c r="CB6" s="44" t="s">
        <v>67</v>
      </c>
      <c r="CC6" s="107" t="s">
        <v>36</v>
      </c>
      <c r="CD6" s="107" t="s">
        <v>41</v>
      </c>
      <c r="CE6" s="107" t="s">
        <v>47</v>
      </c>
      <c r="CF6" s="107" t="s">
        <v>38</v>
      </c>
      <c r="CG6" s="107" t="s">
        <v>55</v>
      </c>
      <c r="CH6" s="44" t="s">
        <v>56</v>
      </c>
      <c r="CI6" s="44" t="s">
        <v>35</v>
      </c>
      <c r="CJ6" s="44" t="s">
        <v>33</v>
      </c>
      <c r="CK6" s="44" t="s">
        <v>36</v>
      </c>
      <c r="CL6" s="44" t="s">
        <v>66</v>
      </c>
      <c r="CM6" s="44" t="s">
        <v>67</v>
      </c>
      <c r="CN6" s="44" t="s">
        <v>36</v>
      </c>
      <c r="CO6" s="115" t="s">
        <v>41</v>
      </c>
      <c r="CP6" s="44" t="s">
        <v>52</v>
      </c>
      <c r="CQ6" s="44" t="s">
        <v>35</v>
      </c>
      <c r="CR6" s="44" t="s">
        <v>33</v>
      </c>
      <c r="CS6" s="44" t="s">
        <v>36</v>
      </c>
      <c r="CT6" s="44" t="s">
        <v>66</v>
      </c>
      <c r="CU6" s="44" t="s">
        <v>67</v>
      </c>
      <c r="CV6" s="44" t="s">
        <v>36</v>
      </c>
      <c r="CW6" s="115" t="s">
        <v>41</v>
      </c>
      <c r="CX6" s="44" t="s">
        <v>56</v>
      </c>
      <c r="CY6" s="44" t="s">
        <v>35</v>
      </c>
      <c r="CZ6" s="44" t="s">
        <v>33</v>
      </c>
      <c r="DA6" s="44" t="s">
        <v>36</v>
      </c>
      <c r="DB6" s="44" t="s">
        <v>66</v>
      </c>
      <c r="DC6" s="44" t="s">
        <v>67</v>
      </c>
      <c r="DD6" s="44" t="s">
        <v>36</v>
      </c>
      <c r="DE6" s="115" t="s">
        <v>41</v>
      </c>
      <c r="DF6" s="44" t="s">
        <v>56</v>
      </c>
      <c r="DG6" s="44" t="s">
        <v>35</v>
      </c>
      <c r="DH6" s="44" t="s">
        <v>33</v>
      </c>
      <c r="DI6" s="44" t="s">
        <v>36</v>
      </c>
      <c r="DJ6" s="44" t="s">
        <v>35</v>
      </c>
      <c r="DK6" s="44" t="s">
        <v>33</v>
      </c>
      <c r="DL6" s="44" t="s">
        <v>36</v>
      </c>
      <c r="DM6" s="44" t="s">
        <v>40</v>
      </c>
      <c r="DN6" s="19"/>
      <c r="DO6" s="19"/>
      <c r="DP6" s="19"/>
      <c r="DQ6" s="19"/>
      <c r="DR6" s="19"/>
      <c r="DS6" s="19"/>
      <c r="DT6" s="19"/>
      <c r="DU6" s="19"/>
      <c r="DV6" s="44" t="s">
        <v>66</v>
      </c>
      <c r="DW6" s="44" t="s">
        <v>67</v>
      </c>
      <c r="DX6" s="44" t="s">
        <v>36</v>
      </c>
      <c r="DY6" s="115" t="s">
        <v>41</v>
      </c>
      <c r="DZ6" s="44" t="s">
        <v>56</v>
      </c>
      <c r="EA6" s="44" t="s">
        <v>66</v>
      </c>
      <c r="EB6" s="44" t="s">
        <v>67</v>
      </c>
      <c r="EC6" s="44" t="s">
        <v>36</v>
      </c>
      <c r="ED6" s="115" t="s">
        <v>41</v>
      </c>
      <c r="EE6" s="44" t="s">
        <v>56</v>
      </c>
      <c r="EF6" s="44" t="s">
        <v>66</v>
      </c>
      <c r="EG6" s="44" t="s">
        <v>67</v>
      </c>
      <c r="EH6" s="107" t="s">
        <v>36</v>
      </c>
      <c r="EI6" s="107" t="s">
        <v>41</v>
      </c>
      <c r="EJ6" s="130" t="s">
        <v>48</v>
      </c>
      <c r="EK6" s="130" t="s">
        <v>38</v>
      </c>
      <c r="EL6" s="130" t="s">
        <v>55</v>
      </c>
      <c r="EM6" s="44" t="s">
        <v>56</v>
      </c>
      <c r="EN6" s="44" t="s">
        <v>35</v>
      </c>
      <c r="EO6" s="44" t="s">
        <v>33</v>
      </c>
      <c r="EP6" s="44" t="s">
        <v>36</v>
      </c>
      <c r="EQ6" s="44" t="s">
        <v>40</v>
      </c>
      <c r="ER6" s="44" t="s">
        <v>35</v>
      </c>
      <c r="ES6" s="44" t="s">
        <v>33</v>
      </c>
      <c r="ET6" s="44" t="s">
        <v>36</v>
      </c>
      <c r="EU6" s="44" t="s">
        <v>66</v>
      </c>
      <c r="EV6" s="44" t="s">
        <v>67</v>
      </c>
      <c r="EW6" s="44" t="s">
        <v>36</v>
      </c>
      <c r="EX6" s="115" t="s">
        <v>41</v>
      </c>
      <c r="EY6" s="44" t="s">
        <v>56</v>
      </c>
      <c r="EZ6" s="44" t="s">
        <v>66</v>
      </c>
      <c r="FA6" s="44" t="s">
        <v>67</v>
      </c>
      <c r="FB6" s="44" t="s">
        <v>36</v>
      </c>
      <c r="FC6" s="115" t="s">
        <v>41</v>
      </c>
      <c r="FD6" s="44" t="s">
        <v>56</v>
      </c>
      <c r="FE6" s="44" t="s">
        <v>35</v>
      </c>
      <c r="FF6" s="44" t="s">
        <v>33</v>
      </c>
      <c r="FG6" s="44" t="s">
        <v>66</v>
      </c>
      <c r="FH6" s="44" t="s">
        <v>67</v>
      </c>
      <c r="FI6" s="44" t="s">
        <v>36</v>
      </c>
      <c r="FJ6" s="115" t="s">
        <v>41</v>
      </c>
      <c r="FK6" s="44" t="s">
        <v>56</v>
      </c>
      <c r="FL6" s="44" t="s">
        <v>66</v>
      </c>
      <c r="FM6" s="44" t="s">
        <v>67</v>
      </c>
      <c r="FN6" s="44" t="s">
        <v>36</v>
      </c>
      <c r="FO6" s="115" t="s">
        <v>41</v>
      </c>
      <c r="FP6" s="44" t="s">
        <v>56</v>
      </c>
      <c r="FQ6" s="44" t="s">
        <v>35</v>
      </c>
      <c r="FR6" s="44" t="s">
        <v>33</v>
      </c>
      <c r="FS6" s="44" t="s">
        <v>36</v>
      </c>
      <c r="FT6" s="44" t="s">
        <v>40</v>
      </c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44" t="s">
        <v>66</v>
      </c>
      <c r="HD6" s="44" t="s">
        <v>67</v>
      </c>
      <c r="HE6" s="44" t="s">
        <v>36</v>
      </c>
      <c r="HF6" s="115" t="s">
        <v>41</v>
      </c>
      <c r="HG6" s="44" t="s">
        <v>56</v>
      </c>
      <c r="HH6" s="44" t="s">
        <v>66</v>
      </c>
      <c r="HI6" s="44" t="s">
        <v>67</v>
      </c>
      <c r="HJ6" s="115" t="s">
        <v>36</v>
      </c>
      <c r="HK6" s="115" t="s">
        <v>41</v>
      </c>
      <c r="HL6" s="44" t="s">
        <v>56</v>
      </c>
      <c r="HM6" s="44" t="s">
        <v>66</v>
      </c>
      <c r="HN6" s="44" t="s">
        <v>67</v>
      </c>
      <c r="HO6" s="115" t="s">
        <v>36</v>
      </c>
      <c r="HP6" s="115" t="s">
        <v>41</v>
      </c>
      <c r="HQ6" s="44" t="s">
        <v>56</v>
      </c>
      <c r="HR6" s="44" t="s">
        <v>66</v>
      </c>
      <c r="HS6" s="44" t="s">
        <v>67</v>
      </c>
      <c r="HT6" s="109" t="s">
        <v>36</v>
      </c>
      <c r="HU6" s="115" t="s">
        <v>41</v>
      </c>
      <c r="HV6" s="44" t="s">
        <v>57</v>
      </c>
      <c r="HW6" s="44" t="s">
        <v>69</v>
      </c>
      <c r="HX6" s="44" t="s">
        <v>70</v>
      </c>
      <c r="HY6" s="107" t="s">
        <v>56</v>
      </c>
      <c r="HZ6" s="44" t="s">
        <v>66</v>
      </c>
      <c r="IA6" s="44" t="s">
        <v>67</v>
      </c>
      <c r="IB6" s="123" t="s">
        <v>36</v>
      </c>
      <c r="IC6" s="124" t="s">
        <v>71</v>
      </c>
      <c r="ID6" s="124" t="s">
        <v>47</v>
      </c>
      <c r="IE6" s="124" t="s">
        <v>43</v>
      </c>
      <c r="IF6" s="142" t="s">
        <v>54</v>
      </c>
      <c r="IG6" s="142" t="s">
        <v>72</v>
      </c>
      <c r="IH6" s="142" t="s">
        <v>61</v>
      </c>
      <c r="II6" s="138" t="s">
        <v>62</v>
      </c>
    </row>
    <row r="7" spans="1:243" ht="28.5" customHeight="1">
      <c r="A7" s="139" t="s">
        <v>26</v>
      </c>
      <c r="B7" s="144">
        <v>49392.655</v>
      </c>
      <c r="C7" s="63">
        <f>B7*C23%</f>
        <v>49482.52815749856</v>
      </c>
      <c r="D7" s="96">
        <f>49486.039-302.332-129.368+66.721</f>
        <v>49121.05999999999</v>
      </c>
      <c r="E7" s="96">
        <f>D7-C7</f>
        <v>-361.46815749856614</v>
      </c>
      <c r="F7" s="99">
        <f>D7/C7*100</f>
        <v>99.26950345716362</v>
      </c>
      <c r="G7" s="99">
        <f>D7/C7*100-100</f>
        <v>-0.7304965428363772</v>
      </c>
      <c r="H7" s="99">
        <f aca="true" t="shared" si="0" ref="H7:H16">D7/B7*100</f>
        <v>99.45013079373844</v>
      </c>
      <c r="I7" s="99">
        <v>76.4</v>
      </c>
      <c r="J7" s="133">
        <v>17.5</v>
      </c>
      <c r="K7" s="85">
        <v>105</v>
      </c>
      <c r="L7" s="85">
        <v>124.565</v>
      </c>
      <c r="M7" s="63">
        <f>L7-K7</f>
        <v>19.564999999999998</v>
      </c>
      <c r="N7" s="99">
        <f>L7/K7*100</f>
        <v>118.63333333333333</v>
      </c>
      <c r="O7" s="99">
        <f>L7-J7</f>
        <v>107.065</v>
      </c>
      <c r="P7" s="96">
        <v>6.909</v>
      </c>
      <c r="Q7" s="63">
        <v>0.446</v>
      </c>
      <c r="R7" s="134">
        <f>Y7+AD7+AI7</f>
        <v>6622.122</v>
      </c>
      <c r="S7" s="36">
        <f>Z7+AE7+AJ7</f>
        <v>6812.827848804893</v>
      </c>
      <c r="T7" s="36">
        <f>AA7+AF7+AK7</f>
        <v>7989.388000000001</v>
      </c>
      <c r="U7" s="36">
        <f>T7-S7</f>
        <v>1176.5601511951081</v>
      </c>
      <c r="V7" s="46">
        <f>T7/S7*100</f>
        <v>117.26977662295548</v>
      </c>
      <c r="W7" s="46">
        <f>T7/S7*100-100</f>
        <v>17.269776622955476</v>
      </c>
      <c r="X7" s="46">
        <f>T7/R7*100</f>
        <v>120.64694670379072</v>
      </c>
      <c r="Y7" s="36">
        <v>958</v>
      </c>
      <c r="Z7" s="40">
        <v>1060</v>
      </c>
      <c r="AA7" s="40">
        <v>1216.482</v>
      </c>
      <c r="AB7" s="40">
        <f>AA7-Z7</f>
        <v>156.48199999999997</v>
      </c>
      <c r="AC7" s="101">
        <f>AA7/Z7*100</f>
        <v>114.76245283018866</v>
      </c>
      <c r="AD7" s="40">
        <v>3800</v>
      </c>
      <c r="AE7" s="40">
        <v>3525</v>
      </c>
      <c r="AF7" s="40">
        <v>4132.809</v>
      </c>
      <c r="AG7" s="40">
        <f>AF7-AE7</f>
        <v>607.8090000000002</v>
      </c>
      <c r="AH7" s="101">
        <f>AF7/AE7*100</f>
        <v>117.24280851063831</v>
      </c>
      <c r="AI7" s="40">
        <v>1864.122</v>
      </c>
      <c r="AJ7" s="63">
        <f>AI7*AJ22%</f>
        <v>2227.8278488048923</v>
      </c>
      <c r="AK7" s="40">
        <v>2640.097</v>
      </c>
      <c r="AL7" s="40">
        <f>AK7-AJ7</f>
        <v>412.26915119510795</v>
      </c>
      <c r="AM7" s="101">
        <f>AK7/AJ7*100</f>
        <v>118.50543126194728</v>
      </c>
      <c r="AN7" s="134">
        <f>AU7+BB7+BJ7+BR7</f>
        <v>3624.0600000000004</v>
      </c>
      <c r="AO7" s="36">
        <f>AX7+BF7+BN7+BV7</f>
        <v>4308.0979763453715</v>
      </c>
      <c r="AP7" s="36">
        <f>AY7+BG7+BO7+BW7</f>
        <v>5062.791</v>
      </c>
      <c r="AQ7" s="36">
        <f>AP7-AO7</f>
        <v>754.6930236546286</v>
      </c>
      <c r="AR7" s="46">
        <f>AP7/AO7*100</f>
        <v>117.51800975275977</v>
      </c>
      <c r="AS7" s="46">
        <f>AP7/AO7*100-100</f>
        <v>17.518009752759767</v>
      </c>
      <c r="AT7" s="46">
        <f>AP7/AN7*100</f>
        <v>139.6994255062002</v>
      </c>
      <c r="AU7" s="36">
        <v>35.366</v>
      </c>
      <c r="AV7" s="65"/>
      <c r="AW7" s="65"/>
      <c r="AX7" s="36">
        <f>AU7*AX23%</f>
        <v>35.32697634537138</v>
      </c>
      <c r="AY7" s="36">
        <v>37.668</v>
      </c>
      <c r="AZ7" s="36">
        <f>AY7-AX7</f>
        <v>2.3410236546286214</v>
      </c>
      <c r="BA7" s="46">
        <f>AY7/AX7*100</f>
        <v>106.62673089183119</v>
      </c>
      <c r="BB7" s="63">
        <v>122.682</v>
      </c>
      <c r="BC7" s="43"/>
      <c r="BD7" s="43"/>
      <c r="BE7" s="43"/>
      <c r="BF7" s="36">
        <f>BB7*BF23%</f>
        <v>122.682</v>
      </c>
      <c r="BG7" s="36">
        <v>123.193</v>
      </c>
      <c r="BH7" s="36">
        <f>BG7-BF7</f>
        <v>0.5109999999999957</v>
      </c>
      <c r="BI7" s="46">
        <f>BG7/BF7*100</f>
        <v>100.41652402145385</v>
      </c>
      <c r="BJ7" s="63">
        <v>2465.32</v>
      </c>
      <c r="BK7" s="65"/>
      <c r="BL7" s="65"/>
      <c r="BM7" s="65"/>
      <c r="BN7" s="36">
        <f>BJ7*BN23%</f>
        <v>2327.4</v>
      </c>
      <c r="BO7" s="36">
        <v>2874.985</v>
      </c>
      <c r="BP7" s="36">
        <f>BO7-BN7</f>
        <v>547.585</v>
      </c>
      <c r="BQ7" s="46">
        <f>BO7/BN7*100</f>
        <v>123.52775629457764</v>
      </c>
      <c r="BR7" s="66">
        <v>1000.692</v>
      </c>
      <c r="BS7" s="65"/>
      <c r="BT7" s="65"/>
      <c r="BU7" s="65"/>
      <c r="BV7" s="36">
        <f>BR7*BV23%</f>
        <v>1822.6890000000003</v>
      </c>
      <c r="BW7" s="36">
        <v>2026.945</v>
      </c>
      <c r="BX7" s="36">
        <f>BW7-BV7</f>
        <v>204.25599999999963</v>
      </c>
      <c r="BY7" s="46">
        <f>BW7/BV7*100</f>
        <v>111.20630014226232</v>
      </c>
      <c r="BZ7" s="134">
        <f>CH7+CP7+CX7+DF7</f>
        <v>6581.630999999999</v>
      </c>
      <c r="CA7" s="36">
        <f aca="true" t="shared" si="1" ref="CA7:CA16">CL7+CT7+DB7+DV7</f>
        <v>7331.320000000001</v>
      </c>
      <c r="CB7" s="36">
        <f>CM7+CU7+DC7+DW7</f>
        <v>7508.968999999999</v>
      </c>
      <c r="CC7" s="36">
        <f>CB7-CA7</f>
        <v>177.64899999999852</v>
      </c>
      <c r="CD7" s="46">
        <f>CB7/CA7*100</f>
        <v>102.42315162890175</v>
      </c>
      <c r="CE7" s="46">
        <f>CB7/CA7*100-100</f>
        <v>2.423151628901749</v>
      </c>
      <c r="CF7" s="46">
        <f>CB7/BZ7*100</f>
        <v>114.08979020549769</v>
      </c>
      <c r="CG7" s="46">
        <f>CB7/CB20*100</f>
        <v>36.18690776464177</v>
      </c>
      <c r="CH7" s="65">
        <v>683.091</v>
      </c>
      <c r="CI7" s="65"/>
      <c r="CJ7" s="65"/>
      <c r="CK7" s="65"/>
      <c r="CL7" s="36">
        <f>CH7*CL23%</f>
        <v>942.5250000000002</v>
      </c>
      <c r="CM7" s="36">
        <v>1358.79</v>
      </c>
      <c r="CN7" s="36">
        <f>CM7-CL7</f>
        <v>416.26499999999976</v>
      </c>
      <c r="CO7" s="46">
        <f>CM7/CL7*100</f>
        <v>144.16487626322905</v>
      </c>
      <c r="CP7" s="63">
        <v>1814.93</v>
      </c>
      <c r="CQ7" s="65"/>
      <c r="CR7" s="65"/>
      <c r="CS7" s="65"/>
      <c r="CT7" s="65">
        <f>CP7*CT23%</f>
        <v>1997.3200000000002</v>
      </c>
      <c r="CU7" s="36">
        <v>2116.932</v>
      </c>
      <c r="CV7" s="36">
        <f>CU7-CT7</f>
        <v>119.61199999999963</v>
      </c>
      <c r="CW7" s="46">
        <f>CU7/CT7*100</f>
        <v>105.98862475717459</v>
      </c>
      <c r="CX7" s="63">
        <v>2503.71</v>
      </c>
      <c r="CY7" s="65"/>
      <c r="CZ7" s="65"/>
      <c r="DA7" s="65"/>
      <c r="DB7" s="36">
        <f>CX7*DB23%</f>
        <v>2531.925</v>
      </c>
      <c r="DC7" s="36">
        <v>2592.848</v>
      </c>
      <c r="DD7" s="36">
        <f>DC7-DB7</f>
        <v>60.922999999999774</v>
      </c>
      <c r="DE7" s="46">
        <f>DC7/DB7*100</f>
        <v>102.40619291645683</v>
      </c>
      <c r="DF7" s="36">
        <v>1579.9</v>
      </c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36">
        <f>DF7*DV23%</f>
        <v>1859.5500000000004</v>
      </c>
      <c r="DW7" s="36">
        <v>1440.399</v>
      </c>
      <c r="DX7" s="36">
        <f>DW7-DV7</f>
        <v>-419.1510000000005</v>
      </c>
      <c r="DY7" s="46">
        <f>DW7/DV7*100</f>
        <v>77.45954666451559</v>
      </c>
      <c r="DZ7" s="63">
        <v>70</v>
      </c>
      <c r="EA7" s="36">
        <v>50</v>
      </c>
      <c r="EB7" s="36">
        <v>-6.25</v>
      </c>
      <c r="EC7" s="36">
        <f>EB7-EA7</f>
        <v>-56.25</v>
      </c>
      <c r="ED7" s="46">
        <f>EB7/EA7*100</f>
        <v>-12.5</v>
      </c>
      <c r="EE7" s="36">
        <f aca="true" t="shared" si="2" ref="EE7:EE16">EM7+EY7+FD7</f>
        <v>9372.949999999999</v>
      </c>
      <c r="EF7" s="36">
        <f>EU7+EZ7+FG7</f>
        <v>9855.860000000002</v>
      </c>
      <c r="EG7" s="36">
        <f>EV7+FA7+FH7</f>
        <v>10015.002999999999</v>
      </c>
      <c r="EH7" s="36">
        <f>EG7-EF7</f>
        <v>159.1429999999964</v>
      </c>
      <c r="EI7" s="46">
        <f>EG7/EF7*100</f>
        <v>101.61470434847895</v>
      </c>
      <c r="EJ7" s="46">
        <f>EG7/EF7*100-100</f>
        <v>1.614704348478952</v>
      </c>
      <c r="EK7" s="46">
        <f>EG7/EE7*100</f>
        <v>106.85006321382275</v>
      </c>
      <c r="EL7" s="46">
        <v>59.8</v>
      </c>
      <c r="EM7" s="63">
        <v>1239</v>
      </c>
      <c r="EN7" s="65"/>
      <c r="EO7" s="65"/>
      <c r="EP7" s="65"/>
      <c r="EQ7" s="65"/>
      <c r="ER7" s="65"/>
      <c r="ES7" s="65"/>
      <c r="ET7" s="65"/>
      <c r="EU7" s="36">
        <f>EM7*EU23%</f>
        <v>1036.63</v>
      </c>
      <c r="EV7" s="36">
        <v>947.875</v>
      </c>
      <c r="EW7" s="36">
        <f>EV7-EU7</f>
        <v>-88.75500000000011</v>
      </c>
      <c r="EX7" s="46">
        <f>EV7/EU7*100</f>
        <v>91.43812160558733</v>
      </c>
      <c r="EY7" s="63">
        <v>6705.65</v>
      </c>
      <c r="EZ7" s="36">
        <f>EY7*EZ23%</f>
        <v>7413.700000000002</v>
      </c>
      <c r="FA7" s="36">
        <v>7430.549</v>
      </c>
      <c r="FB7" s="36">
        <f>FA7-EZ7</f>
        <v>16.84899999999834</v>
      </c>
      <c r="FC7" s="46">
        <f>FA7/EZ7*100</f>
        <v>100.22726843546405</v>
      </c>
      <c r="FD7" s="63">
        <v>1428.3</v>
      </c>
      <c r="FE7" s="65"/>
      <c r="FF7" s="65"/>
      <c r="FG7" s="36">
        <f>FD7*FG23%</f>
        <v>1405.53</v>
      </c>
      <c r="FH7" s="36">
        <f>2144.052-260.371-156.868-90.234</f>
        <v>1636.5790000000002</v>
      </c>
      <c r="FI7" s="36">
        <f>FH7-FG7</f>
        <v>231.0490000000002</v>
      </c>
      <c r="FJ7" s="46">
        <f>FH7/FG7*100</f>
        <v>116.43856765775189</v>
      </c>
      <c r="FK7" s="63">
        <v>25</v>
      </c>
      <c r="FL7" s="36">
        <v>13</v>
      </c>
      <c r="FM7" s="36">
        <v>66.798</v>
      </c>
      <c r="FN7" s="36">
        <f>FM7-FL7</f>
        <v>53.798</v>
      </c>
      <c r="FO7" s="46">
        <f>FM7/FL7*100</f>
        <v>513.8307692307692</v>
      </c>
      <c r="FP7" s="36">
        <v>278</v>
      </c>
      <c r="FQ7" s="43"/>
      <c r="FR7" s="43"/>
      <c r="FS7" s="64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64"/>
      <c r="GF7" s="43"/>
      <c r="GG7" s="43"/>
      <c r="GH7" s="43"/>
      <c r="GI7" s="43"/>
      <c r="GJ7" s="43"/>
      <c r="GK7" s="43"/>
      <c r="GL7" s="43"/>
      <c r="GM7" s="64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34">
        <v>945</v>
      </c>
      <c r="HD7" s="34">
        <v>1219.867</v>
      </c>
      <c r="HE7" s="34">
        <f>HD7-HC7</f>
        <v>274.86699999999996</v>
      </c>
      <c r="HF7" s="127">
        <f>HD7/HC7*100</f>
        <v>129.086455026455</v>
      </c>
      <c r="HG7" s="54">
        <v>16.857</v>
      </c>
      <c r="HH7" s="34">
        <v>16.247</v>
      </c>
      <c r="HI7" s="36">
        <v>27.201</v>
      </c>
      <c r="HJ7" s="36">
        <f>HI7-HH7</f>
        <v>10.954</v>
      </c>
      <c r="HK7" s="20">
        <f>HI7/HH7*100</f>
        <v>167.42167784821814</v>
      </c>
      <c r="HL7" s="116">
        <v>18</v>
      </c>
      <c r="HM7" s="77">
        <v>18</v>
      </c>
      <c r="HN7" s="77">
        <v>31.898</v>
      </c>
      <c r="HO7" s="34">
        <f>HN7-HM7</f>
        <v>13.898</v>
      </c>
      <c r="HP7" s="80">
        <f>HN7/HM7*100</f>
        <v>177.2111111111111</v>
      </c>
      <c r="HQ7" s="55">
        <v>116.137</v>
      </c>
      <c r="HR7" s="34">
        <v>975</v>
      </c>
      <c r="HS7" s="37">
        <f>1350.751+32.147</f>
        <v>1382.898</v>
      </c>
      <c r="HT7" s="128">
        <f>HS7-HR7</f>
        <v>407.8979999999999</v>
      </c>
      <c r="HU7" s="46">
        <f>HS7/HR7*100</f>
        <v>141.8356923076923</v>
      </c>
      <c r="HV7" s="40"/>
      <c r="HW7" s="40">
        <v>45.596</v>
      </c>
      <c r="HX7" s="40">
        <v>77.038</v>
      </c>
      <c r="HY7" s="40">
        <f aca="true" t="shared" si="3" ref="HY7:HY15">B7+J7+R7+AN7+BZ7+DZ7+EE7+FK7+FP7+HG7+HL7+HQ7</f>
        <v>76134.912</v>
      </c>
      <c r="HZ7" s="36">
        <f>C7+K7+S7+AO7+CA7+EA7+EF7+FL7+HC7+HH7+HM7+HR7</f>
        <v>79912.88098264883</v>
      </c>
      <c r="IA7" s="36">
        <f>D7+L7+T7+AP7+EG7+FM7+HD7+HI7++HN7+HS7+CB7+EB7+Q7+P7+HV7+HX7+HW7</f>
        <v>82674.17699999998</v>
      </c>
      <c r="IB7" s="36">
        <f>IA7-HZ7</f>
        <v>2761.296017351153</v>
      </c>
      <c r="IC7" s="118">
        <f>IA7/HZ7*100</f>
        <v>103.45538289121463</v>
      </c>
      <c r="ID7" s="118">
        <f>IA7/HZ7*100-100</f>
        <v>3.455382891214626</v>
      </c>
      <c r="IE7" s="46">
        <f>IA7/HY7*100</f>
        <v>108.5890491342526</v>
      </c>
      <c r="IF7" s="46">
        <f>IA7/IA20*100</f>
        <v>69.92354690064883</v>
      </c>
      <c r="IG7" s="141">
        <v>69244.652</v>
      </c>
      <c r="IH7" s="36">
        <f>IA7-IG7</f>
        <v>13429.52499999998</v>
      </c>
      <c r="II7" s="46">
        <f>IA7/IG7*100-100</f>
        <v>19.394313657609217</v>
      </c>
    </row>
    <row r="8" spans="1:243" ht="30.75" customHeight="1">
      <c r="A8" s="151" t="s">
        <v>27</v>
      </c>
      <c r="B8" s="144">
        <v>2690.65</v>
      </c>
      <c r="C8" s="133">
        <f>B8*C23%</f>
        <v>2695.5458131775567</v>
      </c>
      <c r="D8" s="152">
        <v>1912.903</v>
      </c>
      <c r="E8" s="152">
        <f aca="true" t="shared" si="4" ref="E8:E16">D8-C8</f>
        <v>-782.6428131775567</v>
      </c>
      <c r="F8" s="153">
        <f aca="true" t="shared" si="5" ref="F8:F16">D8/C8*100</f>
        <v>70.9653306817678</v>
      </c>
      <c r="G8" s="153">
        <f aca="true" t="shared" si="6" ref="G8:G20">D8/C8*100-100</f>
        <v>-29.034669318232204</v>
      </c>
      <c r="H8" s="153">
        <f t="shared" si="0"/>
        <v>71.09445672978649</v>
      </c>
      <c r="I8" s="153">
        <f>D8/D20*100</f>
        <v>2.983216722580774</v>
      </c>
      <c r="J8" s="75"/>
      <c r="K8" s="75"/>
      <c r="L8" s="75"/>
      <c r="M8" s="75"/>
      <c r="N8" s="75"/>
      <c r="O8" s="75"/>
      <c r="P8" s="75"/>
      <c r="Q8" s="75"/>
      <c r="R8" s="134">
        <f aca="true" t="shared" si="7" ref="R8:R15">Y8+AD8+AI8</f>
        <v>1.979</v>
      </c>
      <c r="S8" s="134">
        <f aca="true" t="shared" si="8" ref="S8:S20">Z8+AE8+AJ8</f>
        <v>2.3651195108393557</v>
      </c>
      <c r="T8" s="134">
        <f aca="true" t="shared" si="9" ref="T8:T20">AA8+AF8+AK8</f>
        <v>11.193</v>
      </c>
      <c r="U8" s="134">
        <f aca="true" t="shared" si="10" ref="U8:U15">T8-S8</f>
        <v>8.827880489160645</v>
      </c>
      <c r="V8" s="154">
        <f aca="true" t="shared" si="11" ref="V8:V15">T8/S8*100</f>
        <v>473.25304064773127</v>
      </c>
      <c r="W8" s="154">
        <f aca="true" t="shared" si="12" ref="W8:W20">T8/S8*100-100</f>
        <v>373.25304064773127</v>
      </c>
      <c r="X8" s="154">
        <f aca="true" t="shared" si="13" ref="X8:X15">T8/R8*100</f>
        <v>565.588681152097</v>
      </c>
      <c r="Y8" s="155"/>
      <c r="Z8" s="156"/>
      <c r="AA8" s="156"/>
      <c r="AB8" s="156"/>
      <c r="AC8" s="156"/>
      <c r="AD8" s="156"/>
      <c r="AE8" s="156"/>
      <c r="AF8" s="156"/>
      <c r="AG8" s="156"/>
      <c r="AH8" s="156"/>
      <c r="AI8" s="157">
        <v>1.979</v>
      </c>
      <c r="AJ8" s="157">
        <f>AI8*AJ22%</f>
        <v>2.3651195108393557</v>
      </c>
      <c r="AK8" s="157">
        <v>11.193</v>
      </c>
      <c r="AL8" s="157">
        <f aca="true" t="shared" si="14" ref="AL8:AL20">AK8-AJ8</f>
        <v>8.827880489160645</v>
      </c>
      <c r="AM8" s="158">
        <f aca="true" t="shared" si="15" ref="AM8:AM20">AK8/AJ8*100</f>
        <v>473.25304064773127</v>
      </c>
      <c r="AN8" s="134">
        <f aca="true" t="shared" si="16" ref="AN8:AN16">AU8+BB8+BJ8+BR8</f>
        <v>270.52799999999996</v>
      </c>
      <c r="AO8" s="134">
        <f aca="true" t="shared" si="17" ref="AO8:AO16">AX8+BF8+BN8+BV8</f>
        <v>409.2688720948944</v>
      </c>
      <c r="AP8" s="134">
        <f aca="true" t="shared" si="18" ref="AP8:AP16">AY8+BG8+BO8+BW8</f>
        <v>345.782</v>
      </c>
      <c r="AQ8" s="134">
        <f aca="true" t="shared" si="19" ref="AQ8:AQ16">AP8-AO8</f>
        <v>-63.48687209489441</v>
      </c>
      <c r="AR8" s="154">
        <f aca="true" t="shared" si="20" ref="AR8:AR20">AP8/AO8*100</f>
        <v>84.48773497727085</v>
      </c>
      <c r="AS8" s="154">
        <f aca="true" t="shared" si="21" ref="AS8:AS20">AP8/AO8*100-100</f>
        <v>-15.512265022729153</v>
      </c>
      <c r="AT8" s="154">
        <f aca="true" t="shared" si="22" ref="AT8:AT16">AP8/AN8*100</f>
        <v>127.8174532765555</v>
      </c>
      <c r="AU8" s="155">
        <v>3.741</v>
      </c>
      <c r="AV8" s="155"/>
      <c r="AW8" s="155"/>
      <c r="AX8" s="159">
        <f>AU8*AX23%</f>
        <v>3.736872094894371</v>
      </c>
      <c r="AY8" s="134">
        <v>6.844</v>
      </c>
      <c r="AZ8" s="134">
        <f>AY8-AX8</f>
        <v>3.1071279051056293</v>
      </c>
      <c r="BA8" s="154">
        <f>AY8/AX8*100</f>
        <v>183.14782594113535</v>
      </c>
      <c r="BB8" s="75">
        <v>0.127</v>
      </c>
      <c r="BC8" s="160"/>
      <c r="BD8" s="160"/>
      <c r="BE8" s="161"/>
      <c r="BF8" s="134">
        <f>BB8*BF23%</f>
        <v>0.127</v>
      </c>
      <c r="BG8" s="134">
        <v>0.25</v>
      </c>
      <c r="BH8" s="134">
        <f aca="true" t="shared" si="23" ref="BH8:BH16">BG8-BF8</f>
        <v>0.123</v>
      </c>
      <c r="BI8" s="154"/>
      <c r="BJ8" s="75">
        <v>91.52</v>
      </c>
      <c r="BK8" s="155"/>
      <c r="BL8" s="155"/>
      <c r="BM8" s="162"/>
      <c r="BN8" s="159">
        <f>BJ8*BN23%</f>
        <v>86.39999999999999</v>
      </c>
      <c r="BO8" s="134">
        <v>11.2</v>
      </c>
      <c r="BP8" s="134">
        <f aca="true" t="shared" si="24" ref="BP8:BP16">BO8-BN8</f>
        <v>-75.19999999999999</v>
      </c>
      <c r="BQ8" s="154">
        <f aca="true" t="shared" si="25" ref="BQ8:BQ16">BO8/BN8*100</f>
        <v>12.962962962962962</v>
      </c>
      <c r="BR8" s="163">
        <v>175.14</v>
      </c>
      <c r="BS8" s="155"/>
      <c r="BT8" s="155"/>
      <c r="BU8" s="155"/>
      <c r="BV8" s="159">
        <f>BR8*BV23%</f>
        <v>319.005</v>
      </c>
      <c r="BW8" s="164">
        <v>327.488</v>
      </c>
      <c r="BX8" s="134">
        <f aca="true" t="shared" si="26" ref="BX8:BX16">BW8-BV8</f>
        <v>8.483000000000004</v>
      </c>
      <c r="BY8" s="154">
        <f aca="true" t="shared" si="27" ref="BY8:BY20">BW8/BV8*100</f>
        <v>102.65920596855848</v>
      </c>
      <c r="BZ8" s="134">
        <f aca="true" t="shared" si="28" ref="BZ8:BZ16">CH8+CP8+CX8+DF8</f>
        <v>2759.0750000000003</v>
      </c>
      <c r="CA8" s="134">
        <f t="shared" si="1"/>
        <v>3034.066</v>
      </c>
      <c r="CB8" s="36">
        <f aca="true" t="shared" si="29" ref="CB8:CB20">CM8+CU8+DC8+DW8</f>
        <v>2430.692</v>
      </c>
      <c r="CC8" s="134">
        <f aca="true" t="shared" si="30" ref="CC8:CC16">CB8-CA8</f>
        <v>-603.3739999999998</v>
      </c>
      <c r="CD8" s="154">
        <f aca="true" t="shared" si="31" ref="CD8:CD16">CB8/CA8*100</f>
        <v>80.11335284070947</v>
      </c>
      <c r="CE8" s="154">
        <f aca="true" t="shared" si="32" ref="CE8:CE20">CB8/CA8*100-100</f>
        <v>-19.886647159290533</v>
      </c>
      <c r="CF8" s="154">
        <f aca="true" t="shared" si="33" ref="CF8:CF16">CB8/BZ8*100</f>
        <v>88.09807634805142</v>
      </c>
      <c r="CG8" s="154">
        <f>CB8/CB20*100</f>
        <v>11.713888712052565</v>
      </c>
      <c r="CH8" s="163">
        <v>259.767</v>
      </c>
      <c r="CI8" s="155"/>
      <c r="CJ8" s="155"/>
      <c r="CK8" s="162"/>
      <c r="CL8" s="159">
        <f>CH8*CL23%</f>
        <v>358.42500000000007</v>
      </c>
      <c r="CM8" s="134">
        <v>309.723</v>
      </c>
      <c r="CN8" s="134">
        <f aca="true" t="shared" si="34" ref="CN8:CN16">CM8-CL8</f>
        <v>-48.702000000000055</v>
      </c>
      <c r="CO8" s="154">
        <f aca="true" t="shared" si="35" ref="CO8:CO16">CM8/CL8*100</f>
        <v>86.41222012973424</v>
      </c>
      <c r="CP8" s="75">
        <v>1559.99</v>
      </c>
      <c r="CQ8" s="155"/>
      <c r="CR8" s="155"/>
      <c r="CS8" s="162"/>
      <c r="CT8" s="159">
        <f>CP8*CT23%</f>
        <v>1716.76</v>
      </c>
      <c r="CU8" s="134">
        <v>1091.075</v>
      </c>
      <c r="CV8" s="134">
        <f aca="true" t="shared" si="36" ref="CV8:CV16">CU8-CT8</f>
        <v>-625.685</v>
      </c>
      <c r="CW8" s="154">
        <f aca="true" t="shared" si="37" ref="CW8:CW16">CU8/CT8*100</f>
        <v>63.55431161024255</v>
      </c>
      <c r="CX8" s="75">
        <v>885.15</v>
      </c>
      <c r="CY8" s="155"/>
      <c r="CZ8" s="155"/>
      <c r="DA8" s="162"/>
      <c r="DB8" s="159">
        <f>CX8*DB23%</f>
        <v>895.125</v>
      </c>
      <c r="DC8" s="134">
        <v>915.47</v>
      </c>
      <c r="DD8" s="134">
        <f aca="true" t="shared" si="38" ref="DD8:DD16">DC8-DB8</f>
        <v>20.345000000000027</v>
      </c>
      <c r="DE8" s="154">
        <f aca="true" t="shared" si="39" ref="DE8:DE16">DC8/DB8*100</f>
        <v>102.27286691802821</v>
      </c>
      <c r="DF8" s="75">
        <v>54.168</v>
      </c>
      <c r="DG8" s="155"/>
      <c r="DH8" s="155"/>
      <c r="DI8" s="162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62"/>
      <c r="DV8" s="159">
        <f>DF8*DV23%</f>
        <v>63.75600000000001</v>
      </c>
      <c r="DW8" s="134">
        <v>114.424</v>
      </c>
      <c r="DX8" s="134">
        <f aca="true" t="shared" si="40" ref="DX8:DX16">DW8-DV8</f>
        <v>50.668</v>
      </c>
      <c r="DY8" s="154">
        <f aca="true" t="shared" si="41" ref="DY8:DY16">DW8/DV8*100</f>
        <v>179.47173599347514</v>
      </c>
      <c r="DZ8" s="75"/>
      <c r="EA8" s="159"/>
      <c r="EB8" s="159"/>
      <c r="EC8" s="134"/>
      <c r="ED8" s="162"/>
      <c r="EE8" s="134">
        <f t="shared" si="2"/>
        <v>743.2</v>
      </c>
      <c r="EF8" s="134">
        <f aca="true" t="shared" si="42" ref="EF8:EF16">EU8+EZ8+FG8</f>
        <v>785.0000000000002</v>
      </c>
      <c r="EG8" s="36">
        <f aca="true" t="shared" si="43" ref="EG8:EG20">EV8+FA8+FH8</f>
        <v>999.912</v>
      </c>
      <c r="EH8" s="134">
        <f aca="true" t="shared" si="44" ref="EH8:EH16">EG8-EF8</f>
        <v>214.9119999999998</v>
      </c>
      <c r="EI8" s="154">
        <f>EG8/EF8*100</f>
        <v>127.37732484076429</v>
      </c>
      <c r="EJ8" s="154">
        <f aca="true" t="shared" si="45" ref="EJ8:EJ20">EG8/EF8*100-100</f>
        <v>27.377324840764288</v>
      </c>
      <c r="EK8" s="154">
        <f aca="true" t="shared" si="46" ref="EK8:EK16">EG8/EE8*100</f>
        <v>134.54144241119482</v>
      </c>
      <c r="EL8" s="154">
        <f>EG8/EG20*100</f>
        <v>5.976214485610639</v>
      </c>
      <c r="EM8" s="75">
        <v>21</v>
      </c>
      <c r="EN8" s="155"/>
      <c r="EO8" s="155"/>
      <c r="EP8" s="155"/>
      <c r="EQ8" s="155"/>
      <c r="ER8" s="155"/>
      <c r="ES8" s="155"/>
      <c r="ET8" s="162"/>
      <c r="EU8" s="159">
        <f>EM8*EU23%</f>
        <v>17.57</v>
      </c>
      <c r="EV8" s="165">
        <v>119.645</v>
      </c>
      <c r="EW8" s="134">
        <f aca="true" t="shared" si="47" ref="EW8:EW16">EV8-EU8</f>
        <v>102.07499999999999</v>
      </c>
      <c r="EX8" s="154">
        <f aca="true" t="shared" si="48" ref="EX8:EX16">EV8/EU8*100</f>
        <v>680.9618668184405</v>
      </c>
      <c r="EY8" s="75">
        <v>466.9</v>
      </c>
      <c r="EZ8" s="159">
        <f>EY8*EZ23%</f>
        <v>516.2000000000002</v>
      </c>
      <c r="FA8" s="134">
        <v>528.977</v>
      </c>
      <c r="FB8" s="134">
        <f aca="true" t="shared" si="49" ref="FB8:FB16">FA8-EZ8</f>
        <v>12.776999999999816</v>
      </c>
      <c r="FC8" s="154">
        <f aca="true" t="shared" si="50" ref="FC8:FC16">FA8/EZ8*100</f>
        <v>102.47520340953116</v>
      </c>
      <c r="FD8" s="75">
        <v>255.3</v>
      </c>
      <c r="FE8" s="155"/>
      <c r="FF8" s="155"/>
      <c r="FG8" s="159">
        <f>FD8*FG23%</f>
        <v>251.23000000000002</v>
      </c>
      <c r="FH8" s="134">
        <f>255.668+95.622</f>
        <v>351.29</v>
      </c>
      <c r="FI8" s="134">
        <f aca="true" t="shared" si="51" ref="FI8:FI16">FH8-FG8</f>
        <v>100.06</v>
      </c>
      <c r="FJ8" s="154">
        <f aca="true" t="shared" si="52" ref="FJ8:FJ16">FH8/FG8*100</f>
        <v>139.82804601361303</v>
      </c>
      <c r="FK8" s="166"/>
      <c r="FL8" s="159"/>
      <c r="FM8" s="162"/>
      <c r="FN8" s="162"/>
      <c r="FO8" s="162"/>
      <c r="FP8" s="155"/>
      <c r="FQ8" s="160"/>
      <c r="FR8" s="160"/>
      <c r="FS8" s="161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1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1"/>
      <c r="GZ8" s="160"/>
      <c r="HA8" s="160"/>
      <c r="HB8" s="160"/>
      <c r="HC8" s="167"/>
      <c r="HD8" s="159"/>
      <c r="HE8" s="161"/>
      <c r="HF8" s="168"/>
      <c r="HG8" s="169"/>
      <c r="HH8" s="159"/>
      <c r="HI8" s="159"/>
      <c r="HJ8" s="161"/>
      <c r="HK8" s="6"/>
      <c r="HL8" s="170"/>
      <c r="HM8" s="75"/>
      <c r="HN8" s="75"/>
      <c r="HO8" s="162"/>
      <c r="HP8" s="171"/>
      <c r="HQ8" s="172"/>
      <c r="HR8" s="159"/>
      <c r="HS8" s="173"/>
      <c r="HT8" s="174"/>
      <c r="HU8" s="162"/>
      <c r="HV8" s="158"/>
      <c r="HW8" s="158"/>
      <c r="HX8" s="158"/>
      <c r="HY8" s="157">
        <f t="shared" si="3"/>
        <v>6465.432</v>
      </c>
      <c r="HZ8" s="134">
        <f aca="true" t="shared" si="53" ref="HZ8:HZ16">C8+K8+S8+AO8+CA8+EA8+EF8+FL8+HC8+HH8+HM8+HR8</f>
        <v>6926.245804783291</v>
      </c>
      <c r="IA8" s="134">
        <f aca="true" t="shared" si="54" ref="IA8:IA16">D8+L8+T8+AP8+EG8+FM8+HD8+HI8++HN8+HS8+CB8+EB8+Q8+P8+HV8+HX8</f>
        <v>5700.482</v>
      </c>
      <c r="IB8" s="134">
        <f aca="true" t="shared" si="55" ref="IB8:IB16">IA8-HZ8</f>
        <v>-1225.7638047832907</v>
      </c>
      <c r="IC8" s="174">
        <f aca="true" t="shared" si="56" ref="IC8:IC16">IA8/HZ8*100</f>
        <v>82.30262339322735</v>
      </c>
      <c r="ID8" s="175">
        <f aca="true" t="shared" si="57" ref="ID8:ID20">IA8/HZ8*100-100</f>
        <v>-17.69737660677265</v>
      </c>
      <c r="IE8" s="154">
        <f aca="true" t="shared" si="58" ref="IE8:IE16">IA8/HY8*100</f>
        <v>88.16861734838446</v>
      </c>
      <c r="IF8" s="46">
        <f>IA8/IA20*100</f>
        <v>4.821311018110341</v>
      </c>
      <c r="IG8" s="176">
        <v>7093.703</v>
      </c>
      <c r="IH8" s="159">
        <f aca="true" t="shared" si="59" ref="IH8:IH16">IA8-IG8</f>
        <v>-1393.2210000000005</v>
      </c>
      <c r="II8" s="162">
        <f aca="true" t="shared" si="60" ref="II8:II20">IA8/IG8*100-100</f>
        <v>-19.64024995125959</v>
      </c>
    </row>
    <row r="9" spans="1:243" ht="30" customHeight="1">
      <c r="A9" s="151" t="s">
        <v>53</v>
      </c>
      <c r="B9" s="144">
        <v>1985.956</v>
      </c>
      <c r="C9" s="133">
        <f>B9*C23%</f>
        <v>1989.5695764796042</v>
      </c>
      <c r="D9" s="152">
        <f>1381.411+302.332</f>
        <v>1683.743</v>
      </c>
      <c r="E9" s="152">
        <f t="shared" si="4"/>
        <v>-305.8265764796042</v>
      </c>
      <c r="F9" s="153">
        <f t="shared" si="5"/>
        <v>84.62850557753595</v>
      </c>
      <c r="G9" s="153">
        <f t="shared" si="6"/>
        <v>-15.371494422464053</v>
      </c>
      <c r="H9" s="153">
        <f t="shared" si="0"/>
        <v>84.78249266348298</v>
      </c>
      <c r="I9" s="153">
        <f>D9/D20*100</f>
        <v>2.625836372324326</v>
      </c>
      <c r="J9" s="75"/>
      <c r="K9" s="110"/>
      <c r="L9" s="110"/>
      <c r="M9" s="110"/>
      <c r="N9" s="110"/>
      <c r="O9" s="110"/>
      <c r="P9" s="110"/>
      <c r="Q9" s="75"/>
      <c r="R9" s="134">
        <f t="shared" si="7"/>
        <v>5.937</v>
      </c>
      <c r="S9" s="134">
        <f t="shared" si="8"/>
        <v>7.095358532518067</v>
      </c>
      <c r="T9" s="134">
        <f t="shared" si="9"/>
        <v>6.195</v>
      </c>
      <c r="U9" s="134">
        <f t="shared" si="10"/>
        <v>-0.9003585325180667</v>
      </c>
      <c r="V9" s="154">
        <f t="shared" si="11"/>
        <v>87.3105984934839</v>
      </c>
      <c r="W9" s="154">
        <f t="shared" si="12"/>
        <v>-12.689401506516106</v>
      </c>
      <c r="X9" s="154">
        <f t="shared" si="13"/>
        <v>104.3456291056089</v>
      </c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7">
        <v>5.937</v>
      </c>
      <c r="AJ9" s="157">
        <f>AI9*AJ22%</f>
        <v>7.095358532518067</v>
      </c>
      <c r="AK9" s="157">
        <v>6.195</v>
      </c>
      <c r="AL9" s="157">
        <f t="shared" si="14"/>
        <v>-0.9003585325180667</v>
      </c>
      <c r="AM9" s="158">
        <f t="shared" si="15"/>
        <v>87.3105984934839</v>
      </c>
      <c r="AN9" s="134">
        <f t="shared" si="16"/>
        <v>14.678</v>
      </c>
      <c r="AO9" s="134">
        <f t="shared" si="17"/>
        <v>14.1885</v>
      </c>
      <c r="AP9" s="134">
        <f t="shared" si="18"/>
        <v>6.773</v>
      </c>
      <c r="AQ9" s="134">
        <f t="shared" si="19"/>
        <v>-7.4155</v>
      </c>
      <c r="AR9" s="154">
        <f t="shared" si="20"/>
        <v>47.735842407583604</v>
      </c>
      <c r="AS9" s="154">
        <f t="shared" si="21"/>
        <v>-52.264157592416396</v>
      </c>
      <c r="AT9" s="154">
        <f t="shared" si="22"/>
        <v>46.143888813189804</v>
      </c>
      <c r="AU9" s="155"/>
      <c r="AV9" s="155"/>
      <c r="AW9" s="155"/>
      <c r="AX9" s="159"/>
      <c r="AY9" s="134"/>
      <c r="AZ9" s="134"/>
      <c r="BA9" s="154"/>
      <c r="BB9" s="75"/>
      <c r="BC9" s="160"/>
      <c r="BD9" s="160"/>
      <c r="BE9" s="161"/>
      <c r="BF9" s="159"/>
      <c r="BG9" s="134"/>
      <c r="BH9" s="134"/>
      <c r="BI9" s="154"/>
      <c r="BJ9" s="75">
        <v>14.3</v>
      </c>
      <c r="BK9" s="155"/>
      <c r="BL9" s="155"/>
      <c r="BM9" s="162"/>
      <c r="BN9" s="159">
        <f>BJ9*BN23%</f>
        <v>13.5</v>
      </c>
      <c r="BO9" s="134">
        <v>6.773</v>
      </c>
      <c r="BP9" s="134">
        <f t="shared" si="24"/>
        <v>-6.727</v>
      </c>
      <c r="BQ9" s="154">
        <f t="shared" si="25"/>
        <v>50.170370370370364</v>
      </c>
      <c r="BR9" s="163">
        <v>0.378</v>
      </c>
      <c r="BS9" s="155"/>
      <c r="BT9" s="155"/>
      <c r="BU9" s="155"/>
      <c r="BV9" s="159">
        <f>BR9*BV23%</f>
        <v>0.6885000000000001</v>
      </c>
      <c r="BW9" s="164"/>
      <c r="BX9" s="134"/>
      <c r="BY9" s="154"/>
      <c r="BZ9" s="134">
        <f t="shared" si="28"/>
        <v>1224.7179999999998</v>
      </c>
      <c r="CA9" s="134">
        <f t="shared" si="1"/>
        <v>1275.0605</v>
      </c>
      <c r="CB9" s="134">
        <f t="shared" si="29"/>
        <v>1288.705</v>
      </c>
      <c r="CC9" s="134">
        <f t="shared" si="30"/>
        <v>13.64449999999988</v>
      </c>
      <c r="CD9" s="154">
        <f t="shared" si="31"/>
        <v>101.07010608516222</v>
      </c>
      <c r="CE9" s="154">
        <f t="shared" si="32"/>
        <v>1.070106085162223</v>
      </c>
      <c r="CF9" s="154">
        <f t="shared" si="33"/>
        <v>105.22463130287953</v>
      </c>
      <c r="CG9" s="154">
        <f>CB9/CB20*100</f>
        <v>6.210472965174403</v>
      </c>
      <c r="CH9" s="163">
        <v>1.069</v>
      </c>
      <c r="CI9" s="155"/>
      <c r="CJ9" s="155"/>
      <c r="CK9" s="162"/>
      <c r="CL9" s="159">
        <f>CH9*CL23%</f>
        <v>1.4750000000000003</v>
      </c>
      <c r="CM9" s="134">
        <v>5.396</v>
      </c>
      <c r="CN9" s="134">
        <f t="shared" si="34"/>
        <v>3.9209999999999994</v>
      </c>
      <c r="CO9" s="154">
        <f t="shared" si="35"/>
        <v>365.83050847457616</v>
      </c>
      <c r="CP9" s="75">
        <v>333.85</v>
      </c>
      <c r="CQ9" s="155"/>
      <c r="CR9" s="155"/>
      <c r="CS9" s="162"/>
      <c r="CT9" s="159">
        <f>CP9*CT23%</f>
        <v>367.40000000000003</v>
      </c>
      <c r="CU9" s="134">
        <v>368.996</v>
      </c>
      <c r="CV9" s="134">
        <f t="shared" si="36"/>
        <v>1.5959999999999468</v>
      </c>
      <c r="CW9" s="154">
        <f t="shared" si="37"/>
        <v>100.43440391943383</v>
      </c>
      <c r="CX9" s="75">
        <v>851.43</v>
      </c>
      <c r="CY9" s="155"/>
      <c r="CZ9" s="155"/>
      <c r="DA9" s="162"/>
      <c r="DB9" s="159">
        <f>CX9*DB23%</f>
        <v>861.025</v>
      </c>
      <c r="DC9" s="134">
        <v>874.186</v>
      </c>
      <c r="DD9" s="134">
        <f t="shared" si="38"/>
        <v>13.161000000000058</v>
      </c>
      <c r="DE9" s="154">
        <f t="shared" si="39"/>
        <v>101.52852704625302</v>
      </c>
      <c r="DF9" s="75">
        <v>38.369</v>
      </c>
      <c r="DG9" s="155"/>
      <c r="DH9" s="155"/>
      <c r="DI9" s="162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62"/>
      <c r="DV9" s="159">
        <f>DF9*DV23%</f>
        <v>45.160500000000006</v>
      </c>
      <c r="DW9" s="134">
        <v>40.127</v>
      </c>
      <c r="DX9" s="134">
        <f t="shared" si="40"/>
        <v>-5.033500000000004</v>
      </c>
      <c r="DY9" s="154">
        <f t="shared" si="41"/>
        <v>88.85419780560446</v>
      </c>
      <c r="DZ9" s="75"/>
      <c r="EA9" s="159"/>
      <c r="EB9" s="159">
        <v>-6.25</v>
      </c>
      <c r="EC9" s="134"/>
      <c r="ED9" s="162"/>
      <c r="EE9" s="134">
        <f t="shared" si="2"/>
        <v>554.3</v>
      </c>
      <c r="EF9" s="134">
        <f t="shared" si="42"/>
        <v>553.29</v>
      </c>
      <c r="EG9" s="134">
        <f t="shared" si="43"/>
        <v>498.818</v>
      </c>
      <c r="EH9" s="134">
        <f t="shared" si="44"/>
        <v>-54.47199999999998</v>
      </c>
      <c r="EI9" s="154">
        <f>EG9/EF9*100</f>
        <v>90.15489164814112</v>
      </c>
      <c r="EJ9" s="154">
        <f t="shared" si="45"/>
        <v>-9.845108351858883</v>
      </c>
      <c r="EK9" s="154">
        <f t="shared" si="46"/>
        <v>89.99061879848458</v>
      </c>
      <c r="EL9" s="154">
        <f>EG9/EG20*100</f>
        <v>2.9813057121860003</v>
      </c>
      <c r="EM9" s="75"/>
      <c r="EN9" s="155"/>
      <c r="EO9" s="155"/>
      <c r="EP9" s="155"/>
      <c r="EQ9" s="155"/>
      <c r="ER9" s="155"/>
      <c r="ES9" s="155"/>
      <c r="ET9" s="162"/>
      <c r="EU9" s="159">
        <f>EM9*EU24%</f>
        <v>0</v>
      </c>
      <c r="EV9" s="165"/>
      <c r="EW9" s="134">
        <f t="shared" si="47"/>
        <v>0</v>
      </c>
      <c r="EX9" s="154">
        <v>0</v>
      </c>
      <c r="EY9" s="75">
        <v>64.4</v>
      </c>
      <c r="EZ9" s="159">
        <f>EY9*EZ23%</f>
        <v>71.20000000000003</v>
      </c>
      <c r="FA9" s="134">
        <v>220.385</v>
      </c>
      <c r="FB9" s="134">
        <f t="shared" si="49"/>
        <v>149.18499999999995</v>
      </c>
      <c r="FC9" s="154">
        <f t="shared" si="50"/>
        <v>309.52949438202234</v>
      </c>
      <c r="FD9" s="75">
        <v>489.9</v>
      </c>
      <c r="FE9" s="155"/>
      <c r="FF9" s="155"/>
      <c r="FG9" s="159">
        <f>FD9*FG23%</f>
        <v>482.09</v>
      </c>
      <c r="FH9" s="134">
        <v>278.433</v>
      </c>
      <c r="FI9" s="134">
        <f t="shared" si="51"/>
        <v>-203.65699999999998</v>
      </c>
      <c r="FJ9" s="154">
        <f t="shared" si="52"/>
        <v>57.75539836959904</v>
      </c>
      <c r="FK9" s="166"/>
      <c r="FL9" s="159"/>
      <c r="FM9" s="162"/>
      <c r="FN9" s="162"/>
      <c r="FO9" s="162"/>
      <c r="FP9" s="155"/>
      <c r="FQ9" s="160"/>
      <c r="FR9" s="160"/>
      <c r="FS9" s="161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1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1"/>
      <c r="GZ9" s="160"/>
      <c r="HA9" s="160"/>
      <c r="HB9" s="160"/>
      <c r="HC9" s="167"/>
      <c r="HD9" s="159"/>
      <c r="HE9" s="161"/>
      <c r="HF9" s="161"/>
      <c r="HG9" s="177"/>
      <c r="HH9" s="159"/>
      <c r="HI9" s="159"/>
      <c r="HJ9" s="161"/>
      <c r="HK9" s="6"/>
      <c r="HL9" s="166"/>
      <c r="HM9" s="75"/>
      <c r="HN9" s="75"/>
      <c r="HO9" s="162"/>
      <c r="HP9" s="161"/>
      <c r="HQ9" s="177"/>
      <c r="HR9" s="159"/>
      <c r="HS9" s="162"/>
      <c r="HT9" s="174"/>
      <c r="HU9" s="162"/>
      <c r="HV9" s="158"/>
      <c r="HW9" s="158"/>
      <c r="HX9" s="158"/>
      <c r="HY9" s="157">
        <f t="shared" si="3"/>
        <v>3785.589</v>
      </c>
      <c r="HZ9" s="134">
        <f t="shared" si="53"/>
        <v>3839.203935012122</v>
      </c>
      <c r="IA9" s="134">
        <f t="shared" si="54"/>
        <v>3477.9839999999995</v>
      </c>
      <c r="IB9" s="134">
        <f t="shared" si="55"/>
        <v>-361.21993501212273</v>
      </c>
      <c r="IC9" s="174">
        <f t="shared" si="56"/>
        <v>90.59128035064951</v>
      </c>
      <c r="ID9" s="175">
        <f t="shared" si="57"/>
        <v>-9.408719649350488</v>
      </c>
      <c r="IE9" s="154">
        <f t="shared" si="58"/>
        <v>91.87431599151412</v>
      </c>
      <c r="IF9" s="154">
        <f>IA9/IA20*100</f>
        <v>2.9415832871696597</v>
      </c>
      <c r="IG9" s="176">
        <v>3166.982</v>
      </c>
      <c r="IH9" s="159">
        <f t="shared" si="59"/>
        <v>311.0019999999995</v>
      </c>
      <c r="II9" s="162">
        <f t="shared" si="60"/>
        <v>9.820137910477527</v>
      </c>
    </row>
    <row r="10" spans="1:243" ht="26.25" customHeight="1">
      <c r="A10" s="140" t="s">
        <v>28</v>
      </c>
      <c r="B10" s="121">
        <v>1025.01</v>
      </c>
      <c r="C10" s="63">
        <f>B10*C23%</f>
        <v>1026.875072553148</v>
      </c>
      <c r="D10" s="96">
        <f>774.97+129.368</f>
        <v>904.338</v>
      </c>
      <c r="E10" s="96">
        <f t="shared" si="4"/>
        <v>-122.53707255314794</v>
      </c>
      <c r="F10" s="99">
        <f t="shared" si="5"/>
        <v>88.06699316904435</v>
      </c>
      <c r="G10" s="99">
        <f t="shared" si="6"/>
        <v>-11.933006830955648</v>
      </c>
      <c r="H10" s="99">
        <f t="shared" si="0"/>
        <v>88.22723680744578</v>
      </c>
      <c r="I10" s="99">
        <f>D10/D20*100</f>
        <v>1.4103361458815487</v>
      </c>
      <c r="J10" s="33"/>
      <c r="K10" s="33"/>
      <c r="L10" s="33"/>
      <c r="M10" s="33"/>
      <c r="N10" s="33"/>
      <c r="O10" s="33"/>
      <c r="P10" s="33"/>
      <c r="Q10" s="33"/>
      <c r="R10" s="36">
        <f t="shared" si="7"/>
        <v>47.494</v>
      </c>
      <c r="S10" s="36">
        <f t="shared" si="8"/>
        <v>56.76047804335743</v>
      </c>
      <c r="T10" s="36">
        <f t="shared" si="9"/>
        <v>29.358</v>
      </c>
      <c r="U10" s="36">
        <f t="shared" si="10"/>
        <v>-27.40247804335743</v>
      </c>
      <c r="V10" s="46">
        <f t="shared" si="11"/>
        <v>51.72260877995849</v>
      </c>
      <c r="W10" s="46">
        <f t="shared" si="12"/>
        <v>-48.27739122004151</v>
      </c>
      <c r="X10" s="46">
        <f t="shared" si="13"/>
        <v>61.814123889333395</v>
      </c>
      <c r="Y10" s="5"/>
      <c r="Z10" s="10"/>
      <c r="AA10" s="10"/>
      <c r="AB10" s="10"/>
      <c r="AC10" s="10"/>
      <c r="AD10" s="10"/>
      <c r="AE10" s="10"/>
      <c r="AF10" s="10"/>
      <c r="AG10" s="10"/>
      <c r="AH10" s="10"/>
      <c r="AI10" s="40">
        <v>47.494</v>
      </c>
      <c r="AJ10" s="40">
        <f>AI10*AJ22%</f>
        <v>56.76047804335743</v>
      </c>
      <c r="AK10" s="40">
        <v>29.358</v>
      </c>
      <c r="AL10" s="40">
        <f t="shared" si="14"/>
        <v>-27.40247804335743</v>
      </c>
      <c r="AM10" s="101">
        <f t="shared" si="15"/>
        <v>51.72260877995849</v>
      </c>
      <c r="AN10" s="36">
        <f t="shared" si="16"/>
        <v>26.488</v>
      </c>
      <c r="AO10" s="36">
        <f t="shared" si="17"/>
        <v>32.772999999999996</v>
      </c>
      <c r="AP10" s="36">
        <f t="shared" si="18"/>
        <v>10.224</v>
      </c>
      <c r="AQ10" s="36">
        <f t="shared" si="19"/>
        <v>-22.548999999999996</v>
      </c>
      <c r="AR10" s="46">
        <f t="shared" si="20"/>
        <v>31.196411680346632</v>
      </c>
      <c r="AS10" s="46">
        <f t="shared" si="21"/>
        <v>-68.80358831965337</v>
      </c>
      <c r="AT10" s="46">
        <f t="shared" si="22"/>
        <v>38.59861069163395</v>
      </c>
      <c r="AU10" s="5"/>
      <c r="AV10" s="5"/>
      <c r="AW10" s="5"/>
      <c r="AX10" s="32"/>
      <c r="AY10" s="36"/>
      <c r="AZ10" s="36"/>
      <c r="BA10" s="46"/>
      <c r="BB10" s="33">
        <v>0.508</v>
      </c>
      <c r="BC10" s="2"/>
      <c r="BD10" s="2"/>
      <c r="BE10" s="2"/>
      <c r="BF10" s="32">
        <f>BB10*BF23%</f>
        <v>0.508</v>
      </c>
      <c r="BG10" s="36">
        <v>0.279</v>
      </c>
      <c r="BH10" s="36">
        <f t="shared" si="23"/>
        <v>-0.22899999999999998</v>
      </c>
      <c r="BI10" s="46"/>
      <c r="BJ10" s="33">
        <v>17.16</v>
      </c>
      <c r="BK10" s="5"/>
      <c r="BL10" s="5"/>
      <c r="BM10" s="5"/>
      <c r="BN10" s="32">
        <f>BJ10*BN23%</f>
        <v>16.2</v>
      </c>
      <c r="BO10" s="36">
        <v>9.945</v>
      </c>
      <c r="BP10" s="36">
        <f t="shared" si="24"/>
        <v>-6.254999999999999</v>
      </c>
      <c r="BQ10" s="46">
        <f t="shared" si="25"/>
        <v>61.38888888888889</v>
      </c>
      <c r="BR10" s="47">
        <v>8.82</v>
      </c>
      <c r="BS10" s="5"/>
      <c r="BT10" s="5"/>
      <c r="BU10" s="6"/>
      <c r="BV10" s="32">
        <f>BR10*BV23%</f>
        <v>16.065</v>
      </c>
      <c r="BW10" s="65"/>
      <c r="BX10" s="36">
        <f t="shared" si="26"/>
        <v>-16.065</v>
      </c>
      <c r="BY10" s="46">
        <f t="shared" si="27"/>
        <v>0</v>
      </c>
      <c r="BZ10" s="134">
        <f t="shared" si="28"/>
        <v>1032.264</v>
      </c>
      <c r="CA10" s="36">
        <f t="shared" si="1"/>
        <v>1093.6255</v>
      </c>
      <c r="CB10" s="36">
        <f t="shared" si="29"/>
        <v>1756.452</v>
      </c>
      <c r="CC10" s="36">
        <f t="shared" si="30"/>
        <v>662.8264999999999</v>
      </c>
      <c r="CD10" s="46">
        <f t="shared" si="31"/>
        <v>160.6081789424259</v>
      </c>
      <c r="CE10" s="46">
        <f t="shared" si="32"/>
        <v>60.608178942425894</v>
      </c>
      <c r="CF10" s="46">
        <f t="shared" si="33"/>
        <v>170.15530910697265</v>
      </c>
      <c r="CG10" s="46">
        <f>CB10/CB20*100</f>
        <v>8.464619645788998</v>
      </c>
      <c r="CH10" s="47">
        <v>5.345</v>
      </c>
      <c r="CI10" s="5"/>
      <c r="CJ10" s="5"/>
      <c r="CK10" s="6"/>
      <c r="CL10" s="32">
        <f>CH10*CL23%</f>
        <v>7.375000000000002</v>
      </c>
      <c r="CM10" s="36">
        <v>3.579</v>
      </c>
      <c r="CN10" s="36">
        <f t="shared" si="34"/>
        <v>-3.7960000000000016</v>
      </c>
      <c r="CO10" s="46">
        <f t="shared" si="35"/>
        <v>48.528813559322025</v>
      </c>
      <c r="CP10" s="47">
        <v>212.45</v>
      </c>
      <c r="CQ10" s="5"/>
      <c r="CR10" s="5"/>
      <c r="CS10" s="6"/>
      <c r="CT10" s="32">
        <f>CP10*CT23%</f>
        <v>233.8</v>
      </c>
      <c r="CU10" s="36">
        <v>383.219</v>
      </c>
      <c r="CV10" s="36">
        <f t="shared" si="36"/>
        <v>149.41899999999998</v>
      </c>
      <c r="CW10" s="46">
        <f t="shared" si="37"/>
        <v>163.90889649272881</v>
      </c>
      <c r="CX10" s="33">
        <v>640.68</v>
      </c>
      <c r="CY10" s="5"/>
      <c r="CZ10" s="5"/>
      <c r="DA10" s="6"/>
      <c r="DB10" s="32">
        <f>CX10*DB23%</f>
        <v>647.9</v>
      </c>
      <c r="DC10" s="36">
        <v>764.153</v>
      </c>
      <c r="DD10" s="36">
        <f t="shared" si="38"/>
        <v>116.25300000000004</v>
      </c>
      <c r="DE10" s="46">
        <f t="shared" si="39"/>
        <v>117.94304676647631</v>
      </c>
      <c r="DF10" s="33">
        <v>173.789</v>
      </c>
      <c r="DG10" s="5"/>
      <c r="DH10" s="5"/>
      <c r="DI10" s="6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6"/>
      <c r="DV10" s="32">
        <f>DF10*DV23%</f>
        <v>204.5505</v>
      </c>
      <c r="DW10" s="36">
        <v>605.501</v>
      </c>
      <c r="DX10" s="36">
        <f t="shared" si="40"/>
        <v>400.9505</v>
      </c>
      <c r="DY10" s="46">
        <f t="shared" si="41"/>
        <v>296.01540939767926</v>
      </c>
      <c r="DZ10" s="33"/>
      <c r="EA10" s="6"/>
      <c r="EB10" s="6"/>
      <c r="EC10" s="6"/>
      <c r="ED10" s="6"/>
      <c r="EE10" s="36">
        <f t="shared" si="2"/>
        <v>705.5</v>
      </c>
      <c r="EF10" s="36">
        <f t="shared" si="42"/>
        <v>709.84</v>
      </c>
      <c r="EG10" s="36">
        <f t="shared" si="43"/>
        <v>501.496</v>
      </c>
      <c r="EH10" s="36">
        <f t="shared" si="44"/>
        <v>-208.34400000000005</v>
      </c>
      <c r="EI10" s="46">
        <f aca="true" t="shared" si="61" ref="EI10:EI20">EG10/EF10*100</f>
        <v>70.64916037416882</v>
      </c>
      <c r="EJ10" s="46">
        <f t="shared" si="45"/>
        <v>-29.350839625831185</v>
      </c>
      <c r="EK10" s="46">
        <f t="shared" si="46"/>
        <v>71.08377037562012</v>
      </c>
      <c r="EL10" s="46">
        <f>EG10/EG20*100</f>
        <v>2.9973114230810243</v>
      </c>
      <c r="EM10" s="33">
        <v>27</v>
      </c>
      <c r="EN10" s="5"/>
      <c r="EO10" s="5"/>
      <c r="EP10" s="5"/>
      <c r="EQ10" s="5"/>
      <c r="ER10" s="5"/>
      <c r="ES10" s="5"/>
      <c r="ET10" s="6"/>
      <c r="EU10" s="32">
        <f>EM10*EU23%</f>
        <v>22.59</v>
      </c>
      <c r="EV10" s="36">
        <v>39.653</v>
      </c>
      <c r="EW10" s="36">
        <f t="shared" si="47"/>
        <v>17.063</v>
      </c>
      <c r="EX10" s="46">
        <f t="shared" si="48"/>
        <v>175.53342186808322</v>
      </c>
      <c r="EY10" s="33">
        <v>161</v>
      </c>
      <c r="EZ10" s="32">
        <f>EY10*EZ23%</f>
        <v>178.00000000000006</v>
      </c>
      <c r="FA10" s="36">
        <v>75.869</v>
      </c>
      <c r="FB10" s="36">
        <f t="shared" si="49"/>
        <v>-102.13100000000006</v>
      </c>
      <c r="FC10" s="46">
        <f t="shared" si="50"/>
        <v>42.623033707865154</v>
      </c>
      <c r="FD10" s="33">
        <v>517.5</v>
      </c>
      <c r="FE10" s="5"/>
      <c r="FF10" s="5"/>
      <c r="FG10" s="32">
        <f>FD10*FG23%</f>
        <v>509.25</v>
      </c>
      <c r="FH10" s="36">
        <f>229.106+156.868</f>
        <v>385.974</v>
      </c>
      <c r="FI10" s="36">
        <f t="shared" si="51"/>
        <v>-123.27600000000001</v>
      </c>
      <c r="FJ10" s="46">
        <f t="shared" si="52"/>
        <v>75.79263622974963</v>
      </c>
      <c r="FK10" s="50"/>
      <c r="FL10" s="6"/>
      <c r="FM10" s="6"/>
      <c r="FN10" s="6"/>
      <c r="FO10" s="6"/>
      <c r="FP10" s="5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3"/>
      <c r="GJ10" s="2"/>
      <c r="GK10" s="2"/>
      <c r="GL10" s="2"/>
      <c r="GM10" s="2"/>
      <c r="GN10" s="2"/>
      <c r="GO10" s="2"/>
      <c r="GP10" s="2"/>
      <c r="GQ10" s="3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62"/>
      <c r="HD10" s="32"/>
      <c r="HE10" s="7"/>
      <c r="HF10" s="17"/>
      <c r="HG10" s="52"/>
      <c r="HH10" s="34"/>
      <c r="HI10" s="36"/>
      <c r="HJ10" s="64"/>
      <c r="HK10" s="6"/>
      <c r="HL10" s="60"/>
      <c r="HM10" s="110"/>
      <c r="HN10" s="133"/>
      <c r="HO10" s="101"/>
      <c r="HP10" s="78"/>
      <c r="HQ10" s="57"/>
      <c r="HR10" s="23"/>
      <c r="HS10" s="21"/>
      <c r="HT10" s="45"/>
      <c r="HU10" s="6"/>
      <c r="HV10" s="101"/>
      <c r="HW10" s="101"/>
      <c r="HX10" s="101"/>
      <c r="HY10" s="40">
        <f t="shared" si="3"/>
        <v>2836.756</v>
      </c>
      <c r="HZ10" s="36">
        <f t="shared" si="53"/>
        <v>2919.874050596505</v>
      </c>
      <c r="IA10" s="36">
        <f t="shared" si="54"/>
        <v>3201.868</v>
      </c>
      <c r="IB10" s="36">
        <f t="shared" si="55"/>
        <v>281.99394940349475</v>
      </c>
      <c r="IC10" s="45">
        <f t="shared" si="56"/>
        <v>109.6577436052725</v>
      </c>
      <c r="ID10" s="118">
        <f t="shared" si="57"/>
        <v>9.6577436052725</v>
      </c>
      <c r="IE10" s="46">
        <f t="shared" si="58"/>
        <v>112.87075800668087</v>
      </c>
      <c r="IF10" s="46">
        <f>IA10/IA20*100</f>
        <v>2.7080519624366715</v>
      </c>
      <c r="IG10" s="86">
        <v>2833.482</v>
      </c>
      <c r="IH10" s="32">
        <f t="shared" si="59"/>
        <v>368.38599999999997</v>
      </c>
      <c r="II10" s="6">
        <f t="shared" si="60"/>
        <v>13.00117664414313</v>
      </c>
    </row>
    <row r="11" spans="1:243" ht="26.25" customHeight="1">
      <c r="A11" s="140" t="s">
        <v>21</v>
      </c>
      <c r="B11" s="121">
        <v>1217.199</v>
      </c>
      <c r="C11" s="63">
        <f>B11*C23%</f>
        <v>1219.4137729745262</v>
      </c>
      <c r="D11" s="96">
        <f>2418.841-66.721</f>
        <v>2352.12</v>
      </c>
      <c r="E11" s="96">
        <f t="shared" si="4"/>
        <v>1132.7062270254737</v>
      </c>
      <c r="F11" s="99">
        <f t="shared" si="5"/>
        <v>192.88940736354436</v>
      </c>
      <c r="G11" s="99">
        <f t="shared" si="6"/>
        <v>92.88940736354436</v>
      </c>
      <c r="H11" s="99">
        <f t="shared" si="0"/>
        <v>193.24038222180596</v>
      </c>
      <c r="I11" s="99">
        <f>D11/D20*100</f>
        <v>3.6681858502583196</v>
      </c>
      <c r="J11" s="33"/>
      <c r="K11" s="33"/>
      <c r="L11" s="33"/>
      <c r="M11" s="33"/>
      <c r="N11" s="33"/>
      <c r="O11" s="33"/>
      <c r="P11" s="33"/>
      <c r="Q11" s="33"/>
      <c r="R11" s="36">
        <f t="shared" si="7"/>
        <v>7.916</v>
      </c>
      <c r="S11" s="36">
        <f t="shared" si="8"/>
        <v>9.460478043357423</v>
      </c>
      <c r="T11" s="36">
        <f t="shared" si="9"/>
        <v>6.276</v>
      </c>
      <c r="U11" s="36">
        <f t="shared" si="10"/>
        <v>-3.184478043357423</v>
      </c>
      <c r="V11" s="46">
        <f t="shared" si="11"/>
        <v>66.33914239044853</v>
      </c>
      <c r="W11" s="46">
        <f t="shared" si="12"/>
        <v>-33.66085760955147</v>
      </c>
      <c r="X11" s="46">
        <f t="shared" si="13"/>
        <v>79.28246589186458</v>
      </c>
      <c r="Y11" s="5"/>
      <c r="Z11" s="10"/>
      <c r="AA11" s="10"/>
      <c r="AB11" s="10"/>
      <c r="AC11" s="10"/>
      <c r="AD11" s="10"/>
      <c r="AE11" s="10"/>
      <c r="AF11" s="10"/>
      <c r="AG11" s="10"/>
      <c r="AH11" s="10"/>
      <c r="AI11" s="40">
        <v>7.916</v>
      </c>
      <c r="AJ11" s="40">
        <f>AI11*AJ22%</f>
        <v>9.460478043357423</v>
      </c>
      <c r="AK11" s="40">
        <v>6.276</v>
      </c>
      <c r="AL11" s="40">
        <f t="shared" si="14"/>
        <v>-3.184478043357423</v>
      </c>
      <c r="AM11" s="101">
        <f t="shared" si="15"/>
        <v>66.33914239044853</v>
      </c>
      <c r="AN11" s="36">
        <f t="shared" si="16"/>
        <v>12.448</v>
      </c>
      <c r="AO11" s="36">
        <f t="shared" si="17"/>
        <v>12.636</v>
      </c>
      <c r="AP11" s="36">
        <f t="shared" si="18"/>
        <v>20.266000000000002</v>
      </c>
      <c r="AQ11" s="36">
        <f t="shared" si="19"/>
        <v>7.630000000000003</v>
      </c>
      <c r="AR11" s="46">
        <f t="shared" si="20"/>
        <v>160.38303260525487</v>
      </c>
      <c r="AS11" s="46">
        <f t="shared" si="21"/>
        <v>60.38303260525487</v>
      </c>
      <c r="AT11" s="46">
        <f t="shared" si="22"/>
        <v>162.80526992287918</v>
      </c>
      <c r="AU11" s="5"/>
      <c r="AV11" s="5"/>
      <c r="AW11" s="5"/>
      <c r="AX11" s="12"/>
      <c r="AY11" s="27"/>
      <c r="AZ11" s="36"/>
      <c r="BA11" s="46"/>
      <c r="BB11" s="33"/>
      <c r="BC11" s="2"/>
      <c r="BD11" s="2"/>
      <c r="BE11" s="2"/>
      <c r="BF11" s="32"/>
      <c r="BG11" s="36">
        <v>3.28</v>
      </c>
      <c r="BH11" s="36"/>
      <c r="BI11" s="46"/>
      <c r="BJ11" s="33">
        <v>11.44</v>
      </c>
      <c r="BK11" s="5"/>
      <c r="BL11" s="5"/>
      <c r="BM11" s="5"/>
      <c r="BN11" s="32">
        <f>BJ11*BN23%</f>
        <v>10.799999999999999</v>
      </c>
      <c r="BO11" s="36">
        <v>16.986</v>
      </c>
      <c r="BP11" s="36">
        <f t="shared" si="24"/>
        <v>6.186000000000002</v>
      </c>
      <c r="BQ11" s="46">
        <f t="shared" si="25"/>
        <v>157.2777777777778</v>
      </c>
      <c r="BR11" s="47">
        <v>1.008</v>
      </c>
      <c r="BS11" s="5"/>
      <c r="BT11" s="5"/>
      <c r="BU11" s="6"/>
      <c r="BV11" s="32">
        <f>BR11*BV23%</f>
        <v>1.8360000000000003</v>
      </c>
      <c r="BW11" s="65"/>
      <c r="BX11" s="36">
        <f t="shared" si="26"/>
        <v>-1.8360000000000003</v>
      </c>
      <c r="BY11" s="46">
        <f t="shared" si="27"/>
        <v>0</v>
      </c>
      <c r="BZ11" s="134">
        <f t="shared" si="28"/>
        <v>1237.343</v>
      </c>
      <c r="CA11" s="36">
        <f t="shared" si="1"/>
        <v>1315.9485</v>
      </c>
      <c r="CB11" s="36">
        <f t="shared" si="29"/>
        <v>1540.872</v>
      </c>
      <c r="CC11" s="36">
        <f t="shared" si="30"/>
        <v>224.9235000000001</v>
      </c>
      <c r="CD11" s="46">
        <f t="shared" si="31"/>
        <v>117.09212024634704</v>
      </c>
      <c r="CE11" s="46">
        <f t="shared" si="32"/>
        <v>17.092120246347037</v>
      </c>
      <c r="CF11" s="46">
        <f t="shared" si="33"/>
        <v>124.53070813832542</v>
      </c>
      <c r="CG11" s="46">
        <f>CB11/CB20*100</f>
        <v>7.425705571712854</v>
      </c>
      <c r="CH11" s="47">
        <v>21.38</v>
      </c>
      <c r="CI11" s="5"/>
      <c r="CJ11" s="5"/>
      <c r="CK11" s="6"/>
      <c r="CL11" s="32">
        <f>CH11*CL23%</f>
        <v>29.500000000000007</v>
      </c>
      <c r="CM11" s="36">
        <v>10.421</v>
      </c>
      <c r="CN11" s="36">
        <f t="shared" si="34"/>
        <v>-19.079000000000008</v>
      </c>
      <c r="CO11" s="46">
        <f t="shared" si="35"/>
        <v>35.32542372881355</v>
      </c>
      <c r="CP11" s="47">
        <v>430.97</v>
      </c>
      <c r="CQ11" s="5"/>
      <c r="CR11" s="5"/>
      <c r="CS11" s="6"/>
      <c r="CT11" s="32">
        <f>CP11*CT23%</f>
        <v>474.28000000000003</v>
      </c>
      <c r="CU11" s="36">
        <v>681.834</v>
      </c>
      <c r="CV11" s="36">
        <f t="shared" si="36"/>
        <v>207.55399999999992</v>
      </c>
      <c r="CW11" s="46">
        <f t="shared" si="37"/>
        <v>143.76191279413</v>
      </c>
      <c r="CX11" s="33">
        <v>674.4</v>
      </c>
      <c r="CY11" s="5"/>
      <c r="CZ11" s="5"/>
      <c r="DA11" s="6"/>
      <c r="DB11" s="32">
        <f>CX11*DB23%</f>
        <v>682</v>
      </c>
      <c r="DC11" s="36">
        <v>713.645</v>
      </c>
      <c r="DD11" s="36">
        <f t="shared" si="38"/>
        <v>31.644999999999982</v>
      </c>
      <c r="DE11" s="46">
        <f t="shared" si="39"/>
        <v>104.6400293255132</v>
      </c>
      <c r="DF11" s="33">
        <v>110.593</v>
      </c>
      <c r="DG11" s="5"/>
      <c r="DH11" s="5"/>
      <c r="DI11" s="6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6"/>
      <c r="DV11" s="32">
        <f>DF11*DV23%</f>
        <v>130.16850000000002</v>
      </c>
      <c r="DW11" s="36">
        <v>134.972</v>
      </c>
      <c r="DX11" s="36">
        <f t="shared" si="40"/>
        <v>4.8034999999999854</v>
      </c>
      <c r="DY11" s="46">
        <f t="shared" si="41"/>
        <v>103.69021691115745</v>
      </c>
      <c r="DZ11" s="33"/>
      <c r="EA11" s="6"/>
      <c r="EB11" s="6"/>
      <c r="EC11" s="6"/>
      <c r="ED11" s="6"/>
      <c r="EE11" s="36">
        <f t="shared" si="2"/>
        <v>590.35</v>
      </c>
      <c r="EF11" s="36">
        <f t="shared" si="42"/>
        <v>585.355</v>
      </c>
      <c r="EG11" s="36">
        <f t="shared" si="43"/>
        <v>623.455</v>
      </c>
      <c r="EH11" s="36">
        <f t="shared" si="44"/>
        <v>38.10000000000002</v>
      </c>
      <c r="EI11" s="46">
        <f t="shared" si="61"/>
        <v>106.50887068531063</v>
      </c>
      <c r="EJ11" s="46">
        <f t="shared" si="45"/>
        <v>6.508870685310626</v>
      </c>
      <c r="EK11" s="46">
        <f t="shared" si="46"/>
        <v>105.60769035318032</v>
      </c>
      <c r="EL11" s="46">
        <f>EG11/EG20*100</f>
        <v>3.726228710252884</v>
      </c>
      <c r="EM11" s="33">
        <v>16.5</v>
      </c>
      <c r="EN11" s="5"/>
      <c r="EO11" s="5"/>
      <c r="EP11" s="5"/>
      <c r="EQ11" s="5"/>
      <c r="ER11" s="5"/>
      <c r="ES11" s="5"/>
      <c r="ET11" s="6"/>
      <c r="EU11" s="32">
        <f>EM11*EU23%</f>
        <v>13.805</v>
      </c>
      <c r="EV11" s="36"/>
      <c r="EW11" s="36">
        <f t="shared" si="47"/>
        <v>-13.805</v>
      </c>
      <c r="EX11" s="46">
        <f t="shared" si="48"/>
        <v>0</v>
      </c>
      <c r="EY11" s="33">
        <v>56.35</v>
      </c>
      <c r="EZ11" s="32">
        <f>EY11*EZ23%</f>
        <v>62.30000000000002</v>
      </c>
      <c r="FA11" s="36">
        <v>53.98</v>
      </c>
      <c r="FB11" s="36">
        <f t="shared" si="49"/>
        <v>-8.320000000000022</v>
      </c>
      <c r="FC11" s="46">
        <f t="shared" si="50"/>
        <v>86.64526484751201</v>
      </c>
      <c r="FD11" s="33">
        <v>517.5</v>
      </c>
      <c r="FE11" s="5"/>
      <c r="FF11" s="5"/>
      <c r="FG11" s="32">
        <f>FD11*FG23%</f>
        <v>509.25</v>
      </c>
      <c r="FH11" s="36">
        <f>575.095+118.306-123.926</f>
        <v>569.475</v>
      </c>
      <c r="FI11" s="36">
        <f t="shared" si="51"/>
        <v>60.22500000000002</v>
      </c>
      <c r="FJ11" s="46">
        <f t="shared" si="52"/>
        <v>111.82621502209132</v>
      </c>
      <c r="FK11" s="50"/>
      <c r="FL11" s="6"/>
      <c r="FM11" s="6"/>
      <c r="FN11" s="6"/>
      <c r="FO11" s="6"/>
      <c r="FP11" s="5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3"/>
      <c r="GJ11" s="2"/>
      <c r="GK11" s="2"/>
      <c r="GL11" s="2"/>
      <c r="GM11" s="2"/>
      <c r="GN11" s="2"/>
      <c r="GO11" s="2"/>
      <c r="GP11" s="2"/>
      <c r="GQ11" s="3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62"/>
      <c r="HD11" s="32"/>
      <c r="HE11" s="3"/>
      <c r="HF11" s="18"/>
      <c r="HG11" s="51"/>
      <c r="HH11" s="32"/>
      <c r="HI11" s="32"/>
      <c r="HJ11" s="3"/>
      <c r="HK11" s="6"/>
      <c r="HL11" s="59"/>
      <c r="HM11" s="111"/>
      <c r="HN11" s="75"/>
      <c r="HO11" s="104"/>
      <c r="HP11" s="79"/>
      <c r="HQ11" s="56"/>
      <c r="HR11" s="32"/>
      <c r="HS11" s="25"/>
      <c r="HT11" s="45"/>
      <c r="HU11" s="6"/>
      <c r="HV11" s="101"/>
      <c r="HW11" s="101"/>
      <c r="HX11" s="101"/>
      <c r="HY11" s="40">
        <f t="shared" si="3"/>
        <v>3065.256</v>
      </c>
      <c r="HZ11" s="36">
        <f t="shared" si="53"/>
        <v>3142.8137510178835</v>
      </c>
      <c r="IA11" s="36">
        <f t="shared" si="54"/>
        <v>4542.989</v>
      </c>
      <c r="IB11" s="36">
        <f t="shared" si="55"/>
        <v>1400.175248982116</v>
      </c>
      <c r="IC11" s="45">
        <f t="shared" si="56"/>
        <v>144.55164575147452</v>
      </c>
      <c r="ID11" s="118">
        <f t="shared" si="57"/>
        <v>44.551645751474524</v>
      </c>
      <c r="IE11" s="46">
        <f t="shared" si="58"/>
        <v>148.20912184822407</v>
      </c>
      <c r="IF11" s="46">
        <f>IA11/IA20*100</f>
        <v>3.8423352482920006</v>
      </c>
      <c r="IG11" s="86">
        <v>3826.375</v>
      </c>
      <c r="IH11" s="32">
        <f t="shared" si="59"/>
        <v>716.6139999999996</v>
      </c>
      <c r="II11" s="6">
        <f t="shared" si="60"/>
        <v>18.72827414981542</v>
      </c>
    </row>
    <row r="12" spans="1:243" ht="25.5" customHeight="1">
      <c r="A12" s="140" t="s">
        <v>22</v>
      </c>
      <c r="B12" s="121">
        <v>1025.01</v>
      </c>
      <c r="C12" s="63">
        <f>B12*C23%</f>
        <v>1026.875072553148</v>
      </c>
      <c r="D12" s="96">
        <v>1160.108</v>
      </c>
      <c r="E12" s="96">
        <f t="shared" si="4"/>
        <v>133.23292744685205</v>
      </c>
      <c r="F12" s="99">
        <f t="shared" si="5"/>
        <v>112.97459944329853</v>
      </c>
      <c r="G12" s="99">
        <f t="shared" si="6"/>
        <v>12.97459944329853</v>
      </c>
      <c r="H12" s="99">
        <f t="shared" si="0"/>
        <v>113.18016409596004</v>
      </c>
      <c r="I12" s="99">
        <f>D12/D20*100</f>
        <v>1.8092154100859983</v>
      </c>
      <c r="J12" s="33"/>
      <c r="K12" s="85"/>
      <c r="L12" s="85"/>
      <c r="M12" s="85"/>
      <c r="N12" s="85"/>
      <c r="O12" s="85"/>
      <c r="P12" s="85"/>
      <c r="Q12" s="33"/>
      <c r="R12" s="36">
        <f t="shared" si="7"/>
        <v>23.747</v>
      </c>
      <c r="S12" s="36">
        <f t="shared" si="8"/>
        <v>28.380239021678715</v>
      </c>
      <c r="T12" s="36">
        <f t="shared" si="9"/>
        <v>11.631</v>
      </c>
      <c r="U12" s="36">
        <f t="shared" si="10"/>
        <v>-16.749239021678715</v>
      </c>
      <c r="V12" s="46">
        <f t="shared" si="11"/>
        <v>40.982741516431446</v>
      </c>
      <c r="W12" s="46">
        <f t="shared" si="12"/>
        <v>-59.017258483568554</v>
      </c>
      <c r="X12" s="46">
        <f t="shared" si="13"/>
        <v>48.97881837705816</v>
      </c>
      <c r="Y12" s="5"/>
      <c r="Z12" s="10"/>
      <c r="AA12" s="10"/>
      <c r="AB12" s="10"/>
      <c r="AC12" s="10"/>
      <c r="AD12" s="10"/>
      <c r="AE12" s="10"/>
      <c r="AF12" s="10"/>
      <c r="AG12" s="10"/>
      <c r="AH12" s="10"/>
      <c r="AI12" s="40">
        <v>23.747</v>
      </c>
      <c r="AJ12" s="40">
        <f>AI12*AJ22%</f>
        <v>28.380239021678715</v>
      </c>
      <c r="AK12" s="40">
        <v>11.631</v>
      </c>
      <c r="AL12" s="40">
        <f t="shared" si="14"/>
        <v>-16.749239021678715</v>
      </c>
      <c r="AM12" s="101">
        <f t="shared" si="15"/>
        <v>40.982741516431446</v>
      </c>
      <c r="AN12" s="36">
        <f t="shared" si="16"/>
        <v>52.743</v>
      </c>
      <c r="AO12" s="36">
        <f t="shared" si="17"/>
        <v>70.808</v>
      </c>
      <c r="AP12" s="36">
        <f t="shared" si="18"/>
        <v>45.45400000000001</v>
      </c>
      <c r="AQ12" s="36">
        <f t="shared" si="19"/>
        <v>-25.354</v>
      </c>
      <c r="AR12" s="46">
        <f t="shared" si="20"/>
        <v>64.1933114902271</v>
      </c>
      <c r="AS12" s="46">
        <f t="shared" si="21"/>
        <v>-35.8066885097729</v>
      </c>
      <c r="AT12" s="46">
        <f t="shared" si="22"/>
        <v>86.1801566084599</v>
      </c>
      <c r="AU12" s="5"/>
      <c r="AV12" s="5"/>
      <c r="AW12" s="5"/>
      <c r="AX12" s="12"/>
      <c r="AY12" s="27"/>
      <c r="AZ12" s="36"/>
      <c r="BA12" s="46"/>
      <c r="BB12" s="33">
        <v>0.203</v>
      </c>
      <c r="BC12" s="2"/>
      <c r="BD12" s="2"/>
      <c r="BE12" s="2"/>
      <c r="BF12" s="32">
        <f>BB12*BF23%</f>
        <v>0.203</v>
      </c>
      <c r="BG12" s="36"/>
      <c r="BH12" s="36">
        <f t="shared" si="23"/>
        <v>-0.203</v>
      </c>
      <c r="BI12" s="46"/>
      <c r="BJ12" s="33">
        <v>28.6</v>
      </c>
      <c r="BK12" s="5"/>
      <c r="BL12" s="5"/>
      <c r="BM12" s="6"/>
      <c r="BN12" s="32">
        <f>BJ12*BN23%</f>
        <v>27</v>
      </c>
      <c r="BO12" s="36">
        <v>11.364</v>
      </c>
      <c r="BP12" s="36">
        <f t="shared" si="24"/>
        <v>-15.636</v>
      </c>
      <c r="BQ12" s="46">
        <f t="shared" si="25"/>
        <v>42.088888888888896</v>
      </c>
      <c r="BR12" s="47">
        <v>23.94</v>
      </c>
      <c r="BS12" s="5"/>
      <c r="BT12" s="5"/>
      <c r="BU12" s="6"/>
      <c r="BV12" s="32">
        <f>BR12*BV23%</f>
        <v>43.605000000000004</v>
      </c>
      <c r="BW12" s="65">
        <v>34.09</v>
      </c>
      <c r="BX12" s="36">
        <f t="shared" si="26"/>
        <v>-9.515</v>
      </c>
      <c r="BY12" s="46">
        <f t="shared" si="27"/>
        <v>78.17910790047013</v>
      </c>
      <c r="BZ12" s="134">
        <f t="shared" si="28"/>
        <v>525.576</v>
      </c>
      <c r="CA12" s="36">
        <f t="shared" si="1"/>
        <v>567.1215</v>
      </c>
      <c r="CB12" s="36">
        <f t="shared" si="29"/>
        <v>610.3599999999999</v>
      </c>
      <c r="CC12" s="36">
        <f t="shared" si="30"/>
        <v>43.23849999999993</v>
      </c>
      <c r="CD12" s="46">
        <f t="shared" si="31"/>
        <v>107.62420398450772</v>
      </c>
      <c r="CE12" s="46">
        <f t="shared" si="32"/>
        <v>7.624203984507716</v>
      </c>
      <c r="CF12" s="46">
        <f t="shared" si="33"/>
        <v>116.13163462562977</v>
      </c>
      <c r="CG12" s="46">
        <f>CB12/CB20*100</f>
        <v>2.9414212554648644</v>
      </c>
      <c r="CH12" s="47">
        <v>33.139</v>
      </c>
      <c r="CI12" s="5"/>
      <c r="CJ12" s="5"/>
      <c r="CK12" s="6"/>
      <c r="CL12" s="32">
        <f>CH12*CL23%</f>
        <v>45.725000000000016</v>
      </c>
      <c r="CM12" s="36">
        <v>43.246</v>
      </c>
      <c r="CN12" s="36">
        <f t="shared" si="34"/>
        <v>-2.4790000000000134</v>
      </c>
      <c r="CO12" s="46">
        <f t="shared" si="35"/>
        <v>94.57845817386547</v>
      </c>
      <c r="CP12" s="47">
        <v>48.56</v>
      </c>
      <c r="CQ12" s="5"/>
      <c r="CR12" s="5"/>
      <c r="CS12" s="6"/>
      <c r="CT12" s="32">
        <f>CP12*CT23%</f>
        <v>53.440000000000005</v>
      </c>
      <c r="CU12" s="36">
        <v>66.188</v>
      </c>
      <c r="CV12" s="36">
        <f t="shared" si="36"/>
        <v>12.747999999999998</v>
      </c>
      <c r="CW12" s="46">
        <f t="shared" si="37"/>
        <v>123.85479041916167</v>
      </c>
      <c r="CX12" s="33">
        <v>328.77</v>
      </c>
      <c r="CY12" s="5"/>
      <c r="CZ12" s="5"/>
      <c r="DA12" s="6"/>
      <c r="DB12" s="32">
        <f>CX12*DB23%</f>
        <v>332.47499999999997</v>
      </c>
      <c r="DC12" s="36">
        <v>356.294</v>
      </c>
      <c r="DD12" s="36">
        <f t="shared" si="38"/>
        <v>23.819000000000017</v>
      </c>
      <c r="DE12" s="46">
        <f t="shared" si="39"/>
        <v>107.16414768027671</v>
      </c>
      <c r="DF12" s="33">
        <v>115.107</v>
      </c>
      <c r="DG12" s="5"/>
      <c r="DH12" s="5"/>
      <c r="DI12" s="6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6"/>
      <c r="DV12" s="32">
        <f>DF12*DV23%</f>
        <v>135.4815</v>
      </c>
      <c r="DW12" s="36">
        <v>144.632</v>
      </c>
      <c r="DX12" s="36">
        <f t="shared" si="40"/>
        <v>9.150499999999994</v>
      </c>
      <c r="DY12" s="46">
        <f t="shared" si="41"/>
        <v>106.75405867221724</v>
      </c>
      <c r="DZ12" s="33"/>
      <c r="EA12" s="6"/>
      <c r="EB12" s="6"/>
      <c r="EC12" s="6"/>
      <c r="ED12" s="6"/>
      <c r="EE12" s="36">
        <f t="shared" si="2"/>
        <v>680.8</v>
      </c>
      <c r="EF12" s="36">
        <f t="shared" si="42"/>
        <v>679.73</v>
      </c>
      <c r="EG12" s="36">
        <f t="shared" si="43"/>
        <v>620.761</v>
      </c>
      <c r="EH12" s="36">
        <f t="shared" si="44"/>
        <v>-58.96900000000005</v>
      </c>
      <c r="EI12" s="46">
        <f t="shared" si="61"/>
        <v>91.3246436084916</v>
      </c>
      <c r="EJ12" s="46">
        <f t="shared" si="45"/>
        <v>-8.675356391508402</v>
      </c>
      <c r="EK12" s="46">
        <f t="shared" si="46"/>
        <v>91.18111045828438</v>
      </c>
      <c r="EL12" s="46">
        <f>EG12/EG20*100</f>
        <v>3.7101273715108385</v>
      </c>
      <c r="EM12" s="33"/>
      <c r="EN12" s="5"/>
      <c r="EO12" s="5"/>
      <c r="EP12" s="6"/>
      <c r="EQ12" s="5"/>
      <c r="ER12" s="5"/>
      <c r="ES12" s="5"/>
      <c r="ET12" s="6"/>
      <c r="EU12" s="32">
        <f>EM12*EU23%</f>
        <v>0</v>
      </c>
      <c r="EV12" s="36">
        <v>7.82</v>
      </c>
      <c r="EW12" s="36">
        <f t="shared" si="47"/>
        <v>7.82</v>
      </c>
      <c r="EX12" s="46"/>
      <c r="EY12" s="33">
        <v>80.5</v>
      </c>
      <c r="EZ12" s="32">
        <f>EY12*EZ23%</f>
        <v>89.00000000000003</v>
      </c>
      <c r="FA12" s="36">
        <v>152.724</v>
      </c>
      <c r="FB12" s="36">
        <f t="shared" si="49"/>
        <v>63.72399999999996</v>
      </c>
      <c r="FC12" s="46">
        <f t="shared" si="50"/>
        <v>171.59999999999994</v>
      </c>
      <c r="FD12" s="33">
        <v>600.3</v>
      </c>
      <c r="FE12" s="5"/>
      <c r="FF12" s="5"/>
      <c r="FG12" s="32">
        <f>FD12*FG23%</f>
        <v>590.73</v>
      </c>
      <c r="FH12" s="36">
        <v>460.217</v>
      </c>
      <c r="FI12" s="36">
        <f t="shared" si="51"/>
        <v>-130.51300000000003</v>
      </c>
      <c r="FJ12" s="46">
        <f t="shared" si="52"/>
        <v>77.90648858192407</v>
      </c>
      <c r="FK12" s="50"/>
      <c r="FL12" s="6"/>
      <c r="FM12" s="6"/>
      <c r="FN12" s="6"/>
      <c r="FO12" s="6"/>
      <c r="FP12" s="5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3"/>
      <c r="GJ12" s="2"/>
      <c r="GK12" s="2"/>
      <c r="GL12" s="2"/>
      <c r="GM12" s="2"/>
      <c r="GN12" s="2"/>
      <c r="GO12" s="2"/>
      <c r="GP12" s="2"/>
      <c r="GQ12" s="3"/>
      <c r="GR12" s="2"/>
      <c r="GS12" s="2"/>
      <c r="GT12" s="2"/>
      <c r="GU12" s="2"/>
      <c r="GV12" s="2"/>
      <c r="GW12" s="2"/>
      <c r="GX12" s="2"/>
      <c r="GY12" s="3"/>
      <c r="GZ12" s="2"/>
      <c r="HA12" s="2"/>
      <c r="HB12" s="2"/>
      <c r="HC12" s="62"/>
      <c r="HD12" s="32"/>
      <c r="HE12" s="7"/>
      <c r="HF12" s="17"/>
      <c r="HG12" s="52"/>
      <c r="HH12" s="34"/>
      <c r="HI12" s="32"/>
      <c r="HJ12" s="3"/>
      <c r="HK12" s="6"/>
      <c r="HL12" s="60"/>
      <c r="HM12" s="110"/>
      <c r="HN12" s="75"/>
      <c r="HO12" s="38"/>
      <c r="HP12" s="78"/>
      <c r="HQ12" s="57"/>
      <c r="HR12" s="34"/>
      <c r="HS12" s="21"/>
      <c r="HT12" s="45"/>
      <c r="HU12" s="6"/>
      <c r="HV12" s="101"/>
      <c r="HW12" s="101"/>
      <c r="HX12" s="101"/>
      <c r="HY12" s="40">
        <f t="shared" si="3"/>
        <v>2307.876</v>
      </c>
      <c r="HZ12" s="36">
        <f t="shared" si="53"/>
        <v>2372.9148115748267</v>
      </c>
      <c r="IA12" s="36">
        <f t="shared" si="54"/>
        <v>2448.314</v>
      </c>
      <c r="IB12" s="36">
        <f t="shared" si="55"/>
        <v>75.39918842517318</v>
      </c>
      <c r="IC12" s="45">
        <f t="shared" si="56"/>
        <v>103.17749242650365</v>
      </c>
      <c r="ID12" s="118">
        <f t="shared" si="57"/>
        <v>3.1774924265036475</v>
      </c>
      <c r="IE12" s="46">
        <f t="shared" si="58"/>
        <v>106.08516228774853</v>
      </c>
      <c r="IF12" s="46">
        <f>IA12/IA20*100</f>
        <v>2.070716697990416</v>
      </c>
      <c r="IG12" s="86">
        <v>2252.193</v>
      </c>
      <c r="IH12" s="32">
        <f t="shared" si="59"/>
        <v>196.12099999999964</v>
      </c>
      <c r="II12" s="6">
        <f t="shared" si="60"/>
        <v>8.708001490103186</v>
      </c>
    </row>
    <row r="13" spans="1:243" ht="24" customHeight="1">
      <c r="A13" s="140" t="s">
        <v>29</v>
      </c>
      <c r="B13" s="121">
        <v>2306.272</v>
      </c>
      <c r="C13" s="63">
        <f>B13*C23%</f>
        <v>2310.4684123347997</v>
      </c>
      <c r="D13" s="96">
        <v>2288.169</v>
      </c>
      <c r="E13" s="96">
        <f t="shared" si="4"/>
        <v>-22.299412334799854</v>
      </c>
      <c r="F13" s="99">
        <f>D13/C13*100</f>
        <v>99.03485318320082</v>
      </c>
      <c r="G13" s="99">
        <f t="shared" si="6"/>
        <v>-0.9651468167991766</v>
      </c>
      <c r="H13" s="99">
        <f t="shared" si="0"/>
        <v>99.21505355829667</v>
      </c>
      <c r="I13" s="99">
        <f>D13/D20*100</f>
        <v>3.568452778259497</v>
      </c>
      <c r="J13" s="33"/>
      <c r="K13" s="33"/>
      <c r="L13" s="33"/>
      <c r="M13" s="33"/>
      <c r="N13" s="33"/>
      <c r="O13" s="33"/>
      <c r="P13" s="33"/>
      <c r="Q13" s="33"/>
      <c r="R13" s="36">
        <f t="shared" si="7"/>
        <v>7.916</v>
      </c>
      <c r="S13" s="36">
        <f t="shared" si="8"/>
        <v>9.460478043357423</v>
      </c>
      <c r="T13" s="36">
        <f t="shared" si="9"/>
        <v>0.47</v>
      </c>
      <c r="U13" s="36">
        <f t="shared" si="10"/>
        <v>-8.990478043357422</v>
      </c>
      <c r="V13" s="46">
        <f t="shared" si="11"/>
        <v>4.96803647602148</v>
      </c>
      <c r="W13" s="46">
        <f t="shared" si="12"/>
        <v>-95.03196352397852</v>
      </c>
      <c r="X13" s="46">
        <f t="shared" si="13"/>
        <v>5.937342091965639</v>
      </c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40">
        <v>7.916</v>
      </c>
      <c r="AJ13" s="40">
        <f>AI13*AJ22%</f>
        <v>9.460478043357423</v>
      </c>
      <c r="AK13" s="40">
        <v>0.47</v>
      </c>
      <c r="AL13" s="40">
        <f t="shared" si="14"/>
        <v>-8.990478043357422</v>
      </c>
      <c r="AM13" s="101">
        <f t="shared" si="15"/>
        <v>4.96803647602148</v>
      </c>
      <c r="AN13" s="36">
        <f t="shared" si="16"/>
        <v>45.699</v>
      </c>
      <c r="AO13" s="36">
        <f t="shared" si="17"/>
        <v>75.54915155973427</v>
      </c>
      <c r="AP13" s="36">
        <f t="shared" si="18"/>
        <v>36.202</v>
      </c>
      <c r="AQ13" s="36">
        <f t="shared" si="19"/>
        <v>-39.34715155973427</v>
      </c>
      <c r="AR13" s="46">
        <f t="shared" si="20"/>
        <v>47.91847327547583</v>
      </c>
      <c r="AS13" s="46">
        <f t="shared" si="21"/>
        <v>-52.08152672452417</v>
      </c>
      <c r="AT13" s="46">
        <f t="shared" si="22"/>
        <v>79.21836364034223</v>
      </c>
      <c r="AU13" s="32">
        <v>4.394</v>
      </c>
      <c r="AV13" s="5"/>
      <c r="AW13" s="5"/>
      <c r="AX13" s="32">
        <f>AU13*AX23%</f>
        <v>4.38915155973426</v>
      </c>
      <c r="AY13" s="36">
        <v>4.707</v>
      </c>
      <c r="AZ13" s="36">
        <f>AY13-AX13</f>
        <v>0.31784844026574</v>
      </c>
      <c r="BA13" s="46">
        <f>AY13/AX13*100</f>
        <v>107.24168295261565</v>
      </c>
      <c r="BB13" s="33">
        <v>1.905</v>
      </c>
      <c r="BC13" s="2"/>
      <c r="BD13" s="2"/>
      <c r="BE13" s="2"/>
      <c r="BF13" s="32">
        <f>BB13*BF23%</f>
        <v>1.905</v>
      </c>
      <c r="BG13" s="36">
        <v>0.454</v>
      </c>
      <c r="BH13" s="36">
        <f t="shared" si="23"/>
        <v>-1.451</v>
      </c>
      <c r="BI13" s="46"/>
      <c r="BJ13" s="33">
        <v>2.86</v>
      </c>
      <c r="BK13" s="5"/>
      <c r="BL13" s="5"/>
      <c r="BM13" s="6"/>
      <c r="BN13" s="32">
        <f>BJ13*BN23%</f>
        <v>2.6999999999999997</v>
      </c>
      <c r="BO13" s="36">
        <v>9.561</v>
      </c>
      <c r="BP13" s="36">
        <f t="shared" si="24"/>
        <v>6.861000000000001</v>
      </c>
      <c r="BQ13" s="46">
        <f t="shared" si="25"/>
        <v>354.11111111111114</v>
      </c>
      <c r="BR13" s="47">
        <v>36.54</v>
      </c>
      <c r="BS13" s="5"/>
      <c r="BT13" s="5"/>
      <c r="BU13" s="5"/>
      <c r="BV13" s="32">
        <f>BR13*BV23%</f>
        <v>66.555</v>
      </c>
      <c r="BW13" s="36">
        <v>21.48</v>
      </c>
      <c r="BX13" s="36">
        <f t="shared" si="26"/>
        <v>-45.075</v>
      </c>
      <c r="BY13" s="46">
        <f t="shared" si="27"/>
        <v>32.27405904890691</v>
      </c>
      <c r="BZ13" s="134">
        <f t="shared" si="28"/>
        <v>913.8439999999999</v>
      </c>
      <c r="CA13" s="36">
        <f t="shared" si="1"/>
        <v>964.1804999999999</v>
      </c>
      <c r="CB13" s="36">
        <f t="shared" si="29"/>
        <v>1118.291</v>
      </c>
      <c r="CC13" s="36">
        <f t="shared" si="30"/>
        <v>154.1105</v>
      </c>
      <c r="CD13" s="46">
        <f t="shared" si="31"/>
        <v>115.9835736151063</v>
      </c>
      <c r="CE13" s="46">
        <f t="shared" si="32"/>
        <v>15.983573615106295</v>
      </c>
      <c r="CF13" s="46">
        <f t="shared" si="33"/>
        <v>122.37219919373547</v>
      </c>
      <c r="CG13" s="46">
        <f>CB13/CB20*100</f>
        <v>5.389220979741561</v>
      </c>
      <c r="CH13" s="47">
        <v>26.725</v>
      </c>
      <c r="CI13" s="5"/>
      <c r="CJ13" s="5"/>
      <c r="CK13" s="6"/>
      <c r="CL13" s="32">
        <f>CH13*CL23%</f>
        <v>36.875000000000014</v>
      </c>
      <c r="CM13" s="36">
        <v>19.136</v>
      </c>
      <c r="CN13" s="36">
        <f t="shared" si="34"/>
        <v>-17.739000000000015</v>
      </c>
      <c r="CO13" s="46">
        <f t="shared" si="35"/>
        <v>51.89423728813557</v>
      </c>
      <c r="CP13" s="47">
        <v>267.08</v>
      </c>
      <c r="CQ13" s="5"/>
      <c r="CR13" s="5"/>
      <c r="CS13" s="6"/>
      <c r="CT13" s="32">
        <f>CP13*CT23%</f>
        <v>293.92</v>
      </c>
      <c r="CU13" s="36">
        <v>538.585</v>
      </c>
      <c r="CV13" s="36">
        <f t="shared" si="36"/>
        <v>244.66500000000002</v>
      </c>
      <c r="CW13" s="46">
        <f t="shared" si="37"/>
        <v>183.24203864997278</v>
      </c>
      <c r="CX13" s="33">
        <v>581.67</v>
      </c>
      <c r="CY13" s="5"/>
      <c r="CZ13" s="5"/>
      <c r="DA13" s="6"/>
      <c r="DB13" s="32">
        <f>CX13*DB23%</f>
        <v>588.225</v>
      </c>
      <c r="DC13" s="36">
        <v>510.846</v>
      </c>
      <c r="DD13" s="36">
        <f t="shared" si="38"/>
        <v>-77.37900000000002</v>
      </c>
      <c r="DE13" s="46">
        <f t="shared" si="39"/>
        <v>86.84533979344639</v>
      </c>
      <c r="DF13" s="33">
        <v>38.369</v>
      </c>
      <c r="DG13" s="5"/>
      <c r="DH13" s="5"/>
      <c r="DI13" s="6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6"/>
      <c r="DV13" s="32">
        <f>DF13*DV23%</f>
        <v>45.160500000000006</v>
      </c>
      <c r="DW13" s="36">
        <v>49.724</v>
      </c>
      <c r="DX13" s="36">
        <f t="shared" si="40"/>
        <v>4.563499999999991</v>
      </c>
      <c r="DY13" s="46">
        <f t="shared" si="41"/>
        <v>110.10506969586251</v>
      </c>
      <c r="DZ13" s="33"/>
      <c r="EA13" s="6"/>
      <c r="EB13" s="6"/>
      <c r="EC13" s="6"/>
      <c r="ED13" s="6"/>
      <c r="EE13" s="36">
        <f t="shared" si="2"/>
        <v>974.65</v>
      </c>
      <c r="EF13" s="36">
        <f t="shared" si="42"/>
        <v>970.725</v>
      </c>
      <c r="EG13" s="36">
        <f t="shared" si="43"/>
        <v>700.297</v>
      </c>
      <c r="EH13" s="36">
        <f t="shared" si="44"/>
        <v>-270.428</v>
      </c>
      <c r="EI13" s="46">
        <f t="shared" si="61"/>
        <v>72.14164670735789</v>
      </c>
      <c r="EJ13" s="46">
        <f t="shared" si="45"/>
        <v>-27.858353292642107</v>
      </c>
      <c r="EK13" s="46">
        <f t="shared" si="46"/>
        <v>71.85112604524701</v>
      </c>
      <c r="EL13" s="46">
        <f>EG13/EG20*100</f>
        <v>4.185493399048791</v>
      </c>
      <c r="EM13" s="33">
        <v>7.5</v>
      </c>
      <c r="EN13" s="5"/>
      <c r="EO13" s="5"/>
      <c r="EP13" s="5"/>
      <c r="EQ13" s="5"/>
      <c r="ER13" s="5"/>
      <c r="ES13" s="5"/>
      <c r="ET13" s="6"/>
      <c r="EU13" s="12">
        <f>EM13*EU23%</f>
        <v>6.275</v>
      </c>
      <c r="EV13" s="36">
        <v>5.725</v>
      </c>
      <c r="EW13" s="36">
        <f t="shared" si="47"/>
        <v>-0.5500000000000007</v>
      </c>
      <c r="EX13" s="46">
        <f t="shared" si="48"/>
        <v>91.23505976095616</v>
      </c>
      <c r="EY13" s="33">
        <v>104.65</v>
      </c>
      <c r="EZ13" s="32">
        <f>EY13*EZ23%</f>
        <v>115.70000000000005</v>
      </c>
      <c r="FA13" s="36">
        <v>131.048</v>
      </c>
      <c r="FB13" s="36">
        <f t="shared" si="49"/>
        <v>15.347999999999956</v>
      </c>
      <c r="FC13" s="46">
        <f t="shared" si="50"/>
        <v>113.26534140017282</v>
      </c>
      <c r="FD13" s="33">
        <v>862.5</v>
      </c>
      <c r="FE13" s="5"/>
      <c r="FF13" s="5"/>
      <c r="FG13" s="32">
        <f>FD13*FG23%</f>
        <v>848.75</v>
      </c>
      <c r="FH13" s="36">
        <v>563.524</v>
      </c>
      <c r="FI13" s="36">
        <f t="shared" si="51"/>
        <v>-285.226</v>
      </c>
      <c r="FJ13" s="46">
        <f t="shared" si="52"/>
        <v>66.39458026509573</v>
      </c>
      <c r="FK13" s="50"/>
      <c r="FL13" s="6"/>
      <c r="FM13" s="6"/>
      <c r="FN13" s="6"/>
      <c r="FO13" s="6"/>
      <c r="FP13" s="5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3"/>
      <c r="GJ13" s="2"/>
      <c r="GK13" s="2"/>
      <c r="GL13" s="2"/>
      <c r="GM13" s="2"/>
      <c r="GN13" s="2"/>
      <c r="GO13" s="2"/>
      <c r="GP13" s="2"/>
      <c r="GQ13" s="3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62"/>
      <c r="HD13" s="32"/>
      <c r="HE13" s="3"/>
      <c r="HF13" s="18"/>
      <c r="HG13" s="51"/>
      <c r="HH13" s="12"/>
      <c r="HI13" s="12"/>
      <c r="HJ13" s="3"/>
      <c r="HK13" s="6"/>
      <c r="HL13" s="59"/>
      <c r="HM13" s="111"/>
      <c r="HN13" s="75"/>
      <c r="HO13" s="104"/>
      <c r="HP13" s="79"/>
      <c r="HQ13" s="56"/>
      <c r="HR13" s="32"/>
      <c r="HS13" s="84"/>
      <c r="HT13" s="117"/>
      <c r="HU13" s="6"/>
      <c r="HV13" s="101"/>
      <c r="HW13" s="101"/>
      <c r="HX13" s="101"/>
      <c r="HY13" s="40">
        <f t="shared" si="3"/>
        <v>4248.381</v>
      </c>
      <c r="HZ13" s="36">
        <f t="shared" si="53"/>
        <v>4330.383541937891</v>
      </c>
      <c r="IA13" s="36">
        <f t="shared" si="54"/>
        <v>4143.428999999999</v>
      </c>
      <c r="IB13" s="36">
        <f t="shared" si="55"/>
        <v>-186.95454193789192</v>
      </c>
      <c r="IC13" s="45">
        <f t="shared" si="56"/>
        <v>95.68272555704782</v>
      </c>
      <c r="ID13" s="118">
        <f t="shared" si="57"/>
        <v>-4.317274442952183</v>
      </c>
      <c r="IE13" s="46">
        <f t="shared" si="58"/>
        <v>97.52960009942609</v>
      </c>
      <c r="IF13" s="46">
        <f>IA13/IA20*100</f>
        <v>3.5043983807786625</v>
      </c>
      <c r="IG13" s="86">
        <v>3860.543</v>
      </c>
      <c r="IH13" s="32">
        <f t="shared" si="59"/>
        <v>282.88599999999906</v>
      </c>
      <c r="II13" s="6">
        <f t="shared" si="60"/>
        <v>7.327622046950367</v>
      </c>
    </row>
    <row r="14" spans="1:243" ht="24.75" customHeight="1">
      <c r="A14" s="140" t="s">
        <v>23</v>
      </c>
      <c r="B14" s="121">
        <v>1281.262</v>
      </c>
      <c r="C14" s="63">
        <f>B14*C23%</f>
        <v>1283.593339781652</v>
      </c>
      <c r="D14" s="96">
        <v>1123.902</v>
      </c>
      <c r="E14" s="96">
        <f t="shared" si="4"/>
        <v>-159.691339781652</v>
      </c>
      <c r="F14" s="99">
        <f t="shared" si="5"/>
        <v>87.55903954683836</v>
      </c>
      <c r="G14" s="99">
        <f t="shared" si="6"/>
        <v>-12.440960453161637</v>
      </c>
      <c r="H14" s="99">
        <f t="shared" si="0"/>
        <v>87.71835893049197</v>
      </c>
      <c r="I14" s="99">
        <f>D14/D20*100</f>
        <v>1.7527513109352526</v>
      </c>
      <c r="J14" s="33"/>
      <c r="K14" s="85"/>
      <c r="L14" s="85"/>
      <c r="M14" s="85"/>
      <c r="N14" s="85"/>
      <c r="O14" s="85"/>
      <c r="P14" s="85"/>
      <c r="Q14" s="33"/>
      <c r="R14" s="36">
        <f t="shared" si="7"/>
        <v>15.831</v>
      </c>
      <c r="S14" s="36">
        <f t="shared" si="8"/>
        <v>18.919760978321293</v>
      </c>
      <c r="T14" s="36">
        <f t="shared" si="9"/>
        <v>10.819</v>
      </c>
      <c r="U14" s="36">
        <f t="shared" si="10"/>
        <v>-8.100760978321292</v>
      </c>
      <c r="V14" s="46">
        <f t="shared" si="11"/>
        <v>57.18359768073532</v>
      </c>
      <c r="W14" s="46">
        <f t="shared" si="12"/>
        <v>-42.81640231926468</v>
      </c>
      <c r="X14" s="46">
        <f t="shared" si="13"/>
        <v>68.34059756174595</v>
      </c>
      <c r="Y14" s="5"/>
      <c r="Z14" s="10"/>
      <c r="AA14" s="10"/>
      <c r="AB14" s="10"/>
      <c r="AC14" s="10"/>
      <c r="AD14" s="10"/>
      <c r="AE14" s="10"/>
      <c r="AF14" s="10"/>
      <c r="AG14" s="10"/>
      <c r="AH14" s="10"/>
      <c r="AI14" s="40">
        <v>15.831</v>
      </c>
      <c r="AJ14" s="40">
        <f>AI14*AJ22%</f>
        <v>18.919760978321293</v>
      </c>
      <c r="AK14" s="40">
        <v>10.819</v>
      </c>
      <c r="AL14" s="40">
        <f t="shared" si="14"/>
        <v>-8.100760978321292</v>
      </c>
      <c r="AM14" s="101">
        <f t="shared" si="15"/>
        <v>57.18359768073532</v>
      </c>
      <c r="AN14" s="36">
        <f t="shared" si="16"/>
        <v>23.596999999999998</v>
      </c>
      <c r="AO14" s="36">
        <f t="shared" si="17"/>
        <v>26.777</v>
      </c>
      <c r="AP14" s="36">
        <f t="shared" si="18"/>
        <v>3.265</v>
      </c>
      <c r="AQ14" s="36">
        <f t="shared" si="19"/>
        <v>-23.512</v>
      </c>
      <c r="AR14" s="46">
        <f t="shared" si="20"/>
        <v>12.193300220338351</v>
      </c>
      <c r="AS14" s="46">
        <f t="shared" si="21"/>
        <v>-87.80669977966164</v>
      </c>
      <c r="AT14" s="46">
        <f t="shared" si="22"/>
        <v>13.836504640420394</v>
      </c>
      <c r="AU14" s="5"/>
      <c r="AV14" s="5"/>
      <c r="AW14" s="5"/>
      <c r="AX14" s="12"/>
      <c r="AY14" s="27"/>
      <c r="AZ14" s="27"/>
      <c r="BA14" s="46"/>
      <c r="BB14" s="33">
        <v>1.397</v>
      </c>
      <c r="BC14" s="2"/>
      <c r="BD14" s="2"/>
      <c r="BE14" s="2"/>
      <c r="BF14" s="32">
        <f>BB14*BF23%</f>
        <v>1.397</v>
      </c>
      <c r="BG14" s="36">
        <v>0.41</v>
      </c>
      <c r="BH14" s="36">
        <f t="shared" si="23"/>
        <v>-0.9870000000000001</v>
      </c>
      <c r="BI14" s="46"/>
      <c r="BJ14" s="33">
        <v>17.16</v>
      </c>
      <c r="BK14" s="5"/>
      <c r="BL14" s="5"/>
      <c r="BM14" s="5"/>
      <c r="BN14" s="32">
        <f>BJ14*BN23%</f>
        <v>16.2</v>
      </c>
      <c r="BO14" s="36">
        <v>2.855</v>
      </c>
      <c r="BP14" s="36">
        <f t="shared" si="24"/>
        <v>-13.344999999999999</v>
      </c>
      <c r="BQ14" s="46">
        <f t="shared" si="25"/>
        <v>17.623456790123456</v>
      </c>
      <c r="BR14" s="47">
        <v>5.04</v>
      </c>
      <c r="BS14" s="5"/>
      <c r="BT14" s="5"/>
      <c r="BU14" s="5"/>
      <c r="BV14" s="32">
        <f>BR14*BV23%</f>
        <v>9.180000000000001</v>
      </c>
      <c r="BW14" s="65"/>
      <c r="BX14" s="36">
        <f t="shared" si="26"/>
        <v>-9.180000000000001</v>
      </c>
      <c r="BY14" s="46">
        <f t="shared" si="27"/>
        <v>0</v>
      </c>
      <c r="BZ14" s="134">
        <f t="shared" si="28"/>
        <v>522.692</v>
      </c>
      <c r="CA14" s="36">
        <f t="shared" si="1"/>
        <v>556.7055</v>
      </c>
      <c r="CB14" s="36">
        <f t="shared" si="29"/>
        <v>518.526</v>
      </c>
      <c r="CC14" s="36">
        <f t="shared" si="30"/>
        <v>-38.179500000000075</v>
      </c>
      <c r="CD14" s="46">
        <f t="shared" si="31"/>
        <v>93.14188561097383</v>
      </c>
      <c r="CE14" s="46">
        <f t="shared" si="32"/>
        <v>-6.85811438902617</v>
      </c>
      <c r="CF14" s="46">
        <f t="shared" si="33"/>
        <v>99.20297230491379</v>
      </c>
      <c r="CG14" s="46">
        <f>CB14/CB20*100</f>
        <v>2.4988587029149594</v>
      </c>
      <c r="CH14" s="47">
        <v>7.483</v>
      </c>
      <c r="CI14" s="5"/>
      <c r="CJ14" s="5"/>
      <c r="CK14" s="6"/>
      <c r="CL14" s="32">
        <f>CH14*CL23%</f>
        <v>10.325000000000003</v>
      </c>
      <c r="CM14" s="36">
        <v>2.438</v>
      </c>
      <c r="CN14" s="36">
        <f t="shared" si="34"/>
        <v>-7.887000000000002</v>
      </c>
      <c r="CO14" s="46">
        <f t="shared" si="35"/>
        <v>23.612590799031473</v>
      </c>
      <c r="CP14" s="47">
        <v>254.94</v>
      </c>
      <c r="CQ14" s="5"/>
      <c r="CR14" s="5"/>
      <c r="CS14" s="6"/>
      <c r="CT14" s="32">
        <f>CP14*CT23%</f>
        <v>280.56</v>
      </c>
      <c r="CU14" s="36">
        <v>235.642</v>
      </c>
      <c r="CV14" s="36">
        <f t="shared" si="36"/>
        <v>-44.918000000000006</v>
      </c>
      <c r="CW14" s="46">
        <f t="shared" si="37"/>
        <v>83.98987738808098</v>
      </c>
      <c r="CX14" s="33">
        <v>244.47</v>
      </c>
      <c r="CY14" s="5"/>
      <c r="CZ14" s="5"/>
      <c r="DA14" s="6"/>
      <c r="DB14" s="32">
        <f>CX14*DB23%</f>
        <v>247.225</v>
      </c>
      <c r="DC14" s="36">
        <v>268.097</v>
      </c>
      <c r="DD14" s="36">
        <f t="shared" si="38"/>
        <v>20.871999999999986</v>
      </c>
      <c r="DE14" s="46">
        <f t="shared" si="39"/>
        <v>108.44251188188896</v>
      </c>
      <c r="DF14" s="33">
        <v>15.799</v>
      </c>
      <c r="DG14" s="5"/>
      <c r="DH14" s="5"/>
      <c r="DI14" s="6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6"/>
      <c r="DV14" s="32">
        <f>DF14*DV23%</f>
        <v>18.5955</v>
      </c>
      <c r="DW14" s="36">
        <v>12.349</v>
      </c>
      <c r="DX14" s="36">
        <f t="shared" si="40"/>
        <v>-6.246500000000001</v>
      </c>
      <c r="DY14" s="46">
        <f t="shared" si="41"/>
        <v>66.40853970046517</v>
      </c>
      <c r="DZ14" s="33"/>
      <c r="EA14" s="6"/>
      <c r="EB14" s="6"/>
      <c r="EC14" s="6"/>
      <c r="ED14" s="6"/>
      <c r="EE14" s="36">
        <f t="shared" si="2"/>
        <v>671.8499999999999</v>
      </c>
      <c r="EF14" s="36">
        <f t="shared" si="42"/>
        <v>658.89</v>
      </c>
      <c r="EG14" s="36">
        <f t="shared" si="43"/>
        <v>602.226</v>
      </c>
      <c r="EH14" s="36">
        <f t="shared" si="44"/>
        <v>-56.66399999999999</v>
      </c>
      <c r="EI14" s="46">
        <f t="shared" si="61"/>
        <v>91.40008195601695</v>
      </c>
      <c r="EJ14" s="46">
        <f t="shared" si="45"/>
        <v>-8.599918043983052</v>
      </c>
      <c r="EK14" s="46">
        <f t="shared" si="46"/>
        <v>89.63697253851308</v>
      </c>
      <c r="EL14" s="46">
        <f>EG14/EG20*100</f>
        <v>3.599348487478251</v>
      </c>
      <c r="EM14" s="33">
        <v>75</v>
      </c>
      <c r="EN14" s="5"/>
      <c r="EO14" s="5"/>
      <c r="EP14" s="6"/>
      <c r="EQ14" s="5"/>
      <c r="ER14" s="5"/>
      <c r="ES14" s="5"/>
      <c r="ET14" s="6"/>
      <c r="EU14" s="12">
        <f>EM14*EU23%</f>
        <v>62.75</v>
      </c>
      <c r="EV14" s="36">
        <v>51.051</v>
      </c>
      <c r="EW14" s="36">
        <f t="shared" si="47"/>
        <v>-11.698999999999998</v>
      </c>
      <c r="EX14" s="46">
        <f t="shared" si="48"/>
        <v>81.35617529880479</v>
      </c>
      <c r="EY14" s="33">
        <v>72.45</v>
      </c>
      <c r="EZ14" s="32">
        <f>EY14*EZ23%</f>
        <v>80.10000000000002</v>
      </c>
      <c r="FA14" s="36">
        <v>139.747</v>
      </c>
      <c r="FB14" s="36">
        <f t="shared" si="49"/>
        <v>59.64699999999999</v>
      </c>
      <c r="FC14" s="46">
        <f t="shared" si="50"/>
        <v>174.46566791510608</v>
      </c>
      <c r="FD14" s="33">
        <v>524.4</v>
      </c>
      <c r="FE14" s="5"/>
      <c r="FF14" s="5"/>
      <c r="FG14" s="32">
        <f>FD14*FG23%</f>
        <v>516.04</v>
      </c>
      <c r="FH14" s="36">
        <v>411.428</v>
      </c>
      <c r="FI14" s="36">
        <f t="shared" si="51"/>
        <v>-104.61199999999997</v>
      </c>
      <c r="FJ14" s="46">
        <f t="shared" si="52"/>
        <v>79.72792806759166</v>
      </c>
      <c r="FK14" s="50"/>
      <c r="FL14" s="32"/>
      <c r="FM14" s="6"/>
      <c r="FN14" s="6"/>
      <c r="FO14" s="6"/>
      <c r="FP14" s="5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3"/>
      <c r="GJ14" s="2"/>
      <c r="GK14" s="2"/>
      <c r="GL14" s="2"/>
      <c r="GM14" s="2"/>
      <c r="GN14" s="2"/>
      <c r="GO14" s="2"/>
      <c r="GP14" s="2"/>
      <c r="GQ14" s="3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62"/>
      <c r="HD14" s="32"/>
      <c r="HE14" s="7"/>
      <c r="HF14" s="17"/>
      <c r="HG14" s="52"/>
      <c r="HH14" s="23"/>
      <c r="HI14" s="12"/>
      <c r="HJ14" s="3"/>
      <c r="HK14" s="6"/>
      <c r="HL14" s="60"/>
      <c r="HM14" s="110"/>
      <c r="HN14" s="75"/>
      <c r="HO14" s="38"/>
      <c r="HP14" s="78"/>
      <c r="HQ14" s="57"/>
      <c r="HR14" s="34"/>
      <c r="HS14" s="21"/>
      <c r="HT14" s="45"/>
      <c r="HU14" s="6"/>
      <c r="HV14" s="101"/>
      <c r="HW14" s="101"/>
      <c r="HX14" s="101"/>
      <c r="HY14" s="40">
        <f t="shared" si="3"/>
        <v>2515.232</v>
      </c>
      <c r="HZ14" s="36">
        <f t="shared" si="53"/>
        <v>2544.8856007599734</v>
      </c>
      <c r="IA14" s="36">
        <f t="shared" si="54"/>
        <v>2258.738</v>
      </c>
      <c r="IB14" s="36">
        <f t="shared" si="55"/>
        <v>-286.14760075997356</v>
      </c>
      <c r="IC14" s="45">
        <f t="shared" si="56"/>
        <v>88.75597391589932</v>
      </c>
      <c r="ID14" s="118">
        <f t="shared" si="57"/>
        <v>-11.244026084100682</v>
      </c>
      <c r="IE14" s="46">
        <f t="shared" si="58"/>
        <v>89.8023721072251</v>
      </c>
      <c r="IF14" s="46">
        <f>IA14/IA20*100</f>
        <v>1.9103785270130693</v>
      </c>
      <c r="IG14" s="86">
        <v>2301.867</v>
      </c>
      <c r="IH14" s="32">
        <f t="shared" si="59"/>
        <v>-43.12900000000036</v>
      </c>
      <c r="II14" s="6">
        <f t="shared" si="60"/>
        <v>-1.8736529955901204</v>
      </c>
    </row>
    <row r="15" spans="1:243" ht="23.25" customHeight="1">
      <c r="A15" s="140" t="s">
        <v>24</v>
      </c>
      <c r="B15" s="35">
        <v>2114.082</v>
      </c>
      <c r="C15" s="36">
        <f>B15*C23%</f>
        <v>2117.9287100938564</v>
      </c>
      <c r="D15" s="96">
        <v>2439.751</v>
      </c>
      <c r="E15" s="96">
        <f t="shared" si="4"/>
        <v>321.82228990614385</v>
      </c>
      <c r="F15" s="99">
        <f t="shared" si="5"/>
        <v>115.1951427058129</v>
      </c>
      <c r="G15" s="99">
        <f t="shared" si="6"/>
        <v>15.195142705812898</v>
      </c>
      <c r="H15" s="99">
        <f t="shared" si="0"/>
        <v>115.40474778177953</v>
      </c>
      <c r="I15" s="99">
        <f>D15/D20*100</f>
        <v>3.8048484330534103</v>
      </c>
      <c r="J15" s="33"/>
      <c r="K15" s="33"/>
      <c r="L15" s="33"/>
      <c r="M15" s="33"/>
      <c r="N15" s="33"/>
      <c r="O15" s="33"/>
      <c r="P15" s="33"/>
      <c r="Q15" s="33"/>
      <c r="R15" s="36">
        <f t="shared" si="7"/>
        <v>3.958</v>
      </c>
      <c r="S15" s="36">
        <f t="shared" si="8"/>
        <v>4.730239021678711</v>
      </c>
      <c r="T15" s="36">
        <f t="shared" si="9"/>
        <v>1.156</v>
      </c>
      <c r="U15" s="36">
        <f t="shared" si="10"/>
        <v>-3.5742390216787117</v>
      </c>
      <c r="V15" s="46">
        <f t="shared" si="11"/>
        <v>24.438511345875877</v>
      </c>
      <c r="W15" s="46">
        <f t="shared" si="12"/>
        <v>-75.56148865412412</v>
      </c>
      <c r="X15" s="46">
        <f t="shared" si="13"/>
        <v>29.206670035371395</v>
      </c>
      <c r="Y15" s="5"/>
      <c r="Z15" s="10"/>
      <c r="AA15" s="10"/>
      <c r="AB15" s="10"/>
      <c r="AC15" s="10"/>
      <c r="AD15" s="10"/>
      <c r="AE15" s="10"/>
      <c r="AF15" s="10"/>
      <c r="AG15" s="10"/>
      <c r="AH15" s="10"/>
      <c r="AI15" s="40">
        <v>3.958</v>
      </c>
      <c r="AJ15" s="40">
        <f>AI15*AJ22%</f>
        <v>4.730239021678711</v>
      </c>
      <c r="AK15" s="40">
        <v>1.156</v>
      </c>
      <c r="AL15" s="40">
        <f t="shared" si="14"/>
        <v>-3.5742390216787117</v>
      </c>
      <c r="AM15" s="101">
        <f t="shared" si="15"/>
        <v>24.438511345875877</v>
      </c>
      <c r="AN15" s="36">
        <f t="shared" si="16"/>
        <v>63.929</v>
      </c>
      <c r="AO15" s="36">
        <f t="shared" si="17"/>
        <v>61.1335</v>
      </c>
      <c r="AP15" s="36">
        <f t="shared" si="18"/>
        <v>36.709</v>
      </c>
      <c r="AQ15" s="36">
        <f t="shared" si="19"/>
        <v>-24.424499999999995</v>
      </c>
      <c r="AR15" s="46">
        <f t="shared" si="20"/>
        <v>60.04727358976667</v>
      </c>
      <c r="AS15" s="46">
        <f t="shared" si="21"/>
        <v>-39.95272641023333</v>
      </c>
      <c r="AT15" s="46">
        <f t="shared" si="22"/>
        <v>57.42151449264028</v>
      </c>
      <c r="AU15" s="5"/>
      <c r="AV15" s="5"/>
      <c r="AW15" s="5"/>
      <c r="AX15" s="12"/>
      <c r="AY15" s="27"/>
      <c r="AZ15" s="27"/>
      <c r="BA15" s="46"/>
      <c r="BB15" s="33">
        <v>0.127</v>
      </c>
      <c r="BC15" s="2"/>
      <c r="BD15" s="2"/>
      <c r="BE15" s="3"/>
      <c r="BF15" s="32">
        <f>BB15*BF23%</f>
        <v>0.127</v>
      </c>
      <c r="BG15" s="36">
        <v>0.263</v>
      </c>
      <c r="BH15" s="36">
        <f t="shared" si="23"/>
        <v>0.136</v>
      </c>
      <c r="BI15" s="46"/>
      <c r="BJ15" s="33">
        <v>62.92</v>
      </c>
      <c r="BK15" s="5"/>
      <c r="BL15" s="5"/>
      <c r="BM15" s="6"/>
      <c r="BN15" s="32">
        <f>BJ15*BN23%</f>
        <v>59.4</v>
      </c>
      <c r="BO15" s="36">
        <v>29.53</v>
      </c>
      <c r="BP15" s="36">
        <f t="shared" si="24"/>
        <v>-29.869999999999997</v>
      </c>
      <c r="BQ15" s="46">
        <f t="shared" si="25"/>
        <v>49.71380471380471</v>
      </c>
      <c r="BR15" s="33">
        <v>0.882</v>
      </c>
      <c r="BS15" s="5"/>
      <c r="BT15" s="5"/>
      <c r="BU15" s="6"/>
      <c r="BV15" s="32">
        <f>BR15*BV23%</f>
        <v>1.6065000000000003</v>
      </c>
      <c r="BW15" s="65">
        <v>6.916</v>
      </c>
      <c r="BX15" s="36">
        <f t="shared" si="26"/>
        <v>5.3095</v>
      </c>
      <c r="BY15" s="46">
        <f t="shared" si="27"/>
        <v>430.50108932461865</v>
      </c>
      <c r="BZ15" s="134">
        <f t="shared" si="28"/>
        <v>2176.195</v>
      </c>
      <c r="CA15" s="36">
        <f t="shared" si="1"/>
        <v>2301.5315000000005</v>
      </c>
      <c r="CB15" s="36">
        <f t="shared" si="29"/>
        <v>2925.8729999999996</v>
      </c>
      <c r="CC15" s="36">
        <f t="shared" si="30"/>
        <v>624.3414999999991</v>
      </c>
      <c r="CD15" s="46">
        <f t="shared" si="31"/>
        <v>127.12721941889559</v>
      </c>
      <c r="CE15" s="46">
        <f t="shared" si="32"/>
        <v>27.127219418895592</v>
      </c>
      <c r="CF15" s="46">
        <f t="shared" si="33"/>
        <v>134.4490268565087</v>
      </c>
      <c r="CG15" s="46">
        <f>CB15/CB20*100</f>
        <v>14.100244172276607</v>
      </c>
      <c r="CH15" s="47">
        <v>12.828</v>
      </c>
      <c r="CI15" s="5"/>
      <c r="CJ15" s="5"/>
      <c r="CK15" s="6"/>
      <c r="CL15" s="32">
        <f>CH15*CL23%</f>
        <v>17.700000000000003</v>
      </c>
      <c r="CM15" s="36">
        <v>32.936</v>
      </c>
      <c r="CN15" s="36">
        <f t="shared" si="34"/>
        <v>15.235999999999997</v>
      </c>
      <c r="CO15" s="46">
        <f t="shared" si="35"/>
        <v>186.0790960451977</v>
      </c>
      <c r="CP15" s="47">
        <v>946.92</v>
      </c>
      <c r="CQ15" s="5"/>
      <c r="CR15" s="5"/>
      <c r="CS15" s="6"/>
      <c r="CT15" s="32">
        <f>CP15*CT23%</f>
        <v>1042.08</v>
      </c>
      <c r="CU15" s="36">
        <v>1550.032</v>
      </c>
      <c r="CV15" s="36">
        <f t="shared" si="36"/>
        <v>507.952</v>
      </c>
      <c r="CW15" s="46">
        <f t="shared" si="37"/>
        <v>148.74405036081683</v>
      </c>
      <c r="CX15" s="33">
        <v>1146.48</v>
      </c>
      <c r="CY15" s="5"/>
      <c r="CZ15" s="5"/>
      <c r="DA15" s="6"/>
      <c r="DB15" s="32">
        <f>CX15*DB23%</f>
        <v>1159.4</v>
      </c>
      <c r="DC15" s="36">
        <v>1259.048</v>
      </c>
      <c r="DD15" s="36">
        <f t="shared" si="38"/>
        <v>99.64799999999991</v>
      </c>
      <c r="DE15" s="46">
        <f t="shared" si="39"/>
        <v>108.59479040883215</v>
      </c>
      <c r="DF15" s="33">
        <v>69.967</v>
      </c>
      <c r="DG15" s="5"/>
      <c r="DH15" s="5"/>
      <c r="DI15" s="6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6"/>
      <c r="DV15" s="32">
        <f>DF15*DV23%</f>
        <v>82.3515</v>
      </c>
      <c r="DW15" s="36">
        <v>83.857</v>
      </c>
      <c r="DX15" s="36">
        <f t="shared" si="40"/>
        <v>1.5054999999999978</v>
      </c>
      <c r="DY15" s="46">
        <f t="shared" si="41"/>
        <v>101.828139135292</v>
      </c>
      <c r="DZ15" s="33"/>
      <c r="EA15" s="32"/>
      <c r="EB15" s="6"/>
      <c r="EC15" s="6"/>
      <c r="ED15" s="6"/>
      <c r="EE15" s="36">
        <f t="shared" si="2"/>
        <v>1495.6</v>
      </c>
      <c r="EF15" s="36">
        <f t="shared" si="42"/>
        <v>1492.9600000000003</v>
      </c>
      <c r="EG15" s="36">
        <f t="shared" si="43"/>
        <v>1534.738</v>
      </c>
      <c r="EH15" s="36">
        <f t="shared" si="44"/>
        <v>41.77799999999979</v>
      </c>
      <c r="EI15" s="46">
        <f t="shared" si="61"/>
        <v>102.79833351194941</v>
      </c>
      <c r="EJ15" s="46">
        <f t="shared" si="45"/>
        <v>2.7983335119494086</v>
      </c>
      <c r="EK15" s="46">
        <f t="shared" si="46"/>
        <v>102.61687617009896</v>
      </c>
      <c r="EL15" s="46">
        <f>EG15/EG20*100</f>
        <v>9.172730667515843</v>
      </c>
      <c r="EM15" s="33">
        <v>42</v>
      </c>
      <c r="EN15" s="5"/>
      <c r="EO15" s="5"/>
      <c r="EP15" s="5"/>
      <c r="EQ15" s="5"/>
      <c r="ER15" s="5"/>
      <c r="ES15" s="5"/>
      <c r="ET15" s="6"/>
      <c r="EU15" s="32">
        <f>EM15*EU23%</f>
        <v>35.14</v>
      </c>
      <c r="EV15" s="36">
        <v>79.032</v>
      </c>
      <c r="EW15" s="36">
        <f t="shared" si="47"/>
        <v>43.891999999999996</v>
      </c>
      <c r="EX15" s="46">
        <f t="shared" si="48"/>
        <v>224.90608992601025</v>
      </c>
      <c r="EY15" s="33">
        <v>225.4</v>
      </c>
      <c r="EZ15" s="32">
        <f>EY15*EZ23%</f>
        <v>249.20000000000007</v>
      </c>
      <c r="FA15" s="36">
        <v>372.446</v>
      </c>
      <c r="FB15" s="36">
        <f t="shared" si="49"/>
        <v>123.24599999999995</v>
      </c>
      <c r="FC15" s="46">
        <f t="shared" si="50"/>
        <v>149.45666131621184</v>
      </c>
      <c r="FD15" s="32">
        <v>1228.2</v>
      </c>
      <c r="FE15" s="5"/>
      <c r="FF15" s="5"/>
      <c r="FG15" s="32">
        <f>FD15*FG23%</f>
        <v>1208.6200000000001</v>
      </c>
      <c r="FH15" s="36">
        <f>989.36+3.666+90.234</f>
        <v>1083.26</v>
      </c>
      <c r="FI15" s="36">
        <f t="shared" si="51"/>
        <v>-125.36000000000013</v>
      </c>
      <c r="FJ15" s="46">
        <f t="shared" si="52"/>
        <v>89.62784001588588</v>
      </c>
      <c r="FK15" s="50"/>
      <c r="FL15" s="32"/>
      <c r="FM15" s="6"/>
      <c r="FN15" s="6"/>
      <c r="FO15" s="6"/>
      <c r="FP15" s="5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3"/>
      <c r="GJ15" s="2"/>
      <c r="GK15" s="2"/>
      <c r="GL15" s="2"/>
      <c r="GM15" s="3"/>
      <c r="GN15" s="2"/>
      <c r="GO15" s="2"/>
      <c r="GP15" s="2"/>
      <c r="GQ15" s="3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62"/>
      <c r="HD15" s="32"/>
      <c r="HE15" s="3"/>
      <c r="HF15" s="18"/>
      <c r="HG15" s="51"/>
      <c r="HH15" s="12"/>
      <c r="HI15" s="12"/>
      <c r="HJ15" s="3"/>
      <c r="HK15" s="6"/>
      <c r="HL15" s="59"/>
      <c r="HM15" s="111"/>
      <c r="HN15" s="75"/>
      <c r="HO15" s="104"/>
      <c r="HP15" s="79"/>
      <c r="HQ15" s="56"/>
      <c r="HR15" s="12"/>
      <c r="HS15" s="25"/>
      <c r="HT15" s="45"/>
      <c r="HU15" s="6"/>
      <c r="HV15" s="101"/>
      <c r="HW15" s="101"/>
      <c r="HX15" s="101"/>
      <c r="HY15" s="40">
        <f t="shared" si="3"/>
        <v>5853.764000000001</v>
      </c>
      <c r="HZ15" s="36">
        <f t="shared" si="53"/>
        <v>5978.2839491155355</v>
      </c>
      <c r="IA15" s="36">
        <f t="shared" si="54"/>
        <v>6938.227</v>
      </c>
      <c r="IB15" s="36">
        <f t="shared" si="55"/>
        <v>959.9430508844644</v>
      </c>
      <c r="IC15" s="45">
        <f t="shared" si="56"/>
        <v>116.05716722482686</v>
      </c>
      <c r="ID15" s="118">
        <f t="shared" si="57"/>
        <v>16.057167224826856</v>
      </c>
      <c r="IE15" s="46">
        <f t="shared" si="58"/>
        <v>118.52590914153693</v>
      </c>
      <c r="IF15" s="46">
        <f>IA15/IA20*100</f>
        <v>5.868161724087658</v>
      </c>
      <c r="IG15" s="86">
        <v>6139.323</v>
      </c>
      <c r="IH15" s="32">
        <f t="shared" si="59"/>
        <v>798.9039999999995</v>
      </c>
      <c r="II15" s="6">
        <f t="shared" si="60"/>
        <v>13.012900608096373</v>
      </c>
    </row>
    <row r="16" spans="1:243" ht="24" customHeight="1">
      <c r="A16" s="140" t="s">
        <v>25</v>
      </c>
      <c r="B16" s="121">
        <v>1025.01</v>
      </c>
      <c r="C16" s="63">
        <f>B16*C23%</f>
        <v>1026.875072553148</v>
      </c>
      <c r="D16" s="96">
        <v>1136.066</v>
      </c>
      <c r="E16" s="96">
        <f t="shared" si="4"/>
        <v>109.19092744685213</v>
      </c>
      <c r="F16" s="99">
        <f t="shared" si="5"/>
        <v>110.6333214589938</v>
      </c>
      <c r="G16" s="99">
        <f t="shared" si="6"/>
        <v>10.633321458993805</v>
      </c>
      <c r="H16" s="99">
        <f t="shared" si="0"/>
        <v>110.83462600364875</v>
      </c>
      <c r="I16" s="99">
        <f>D16/D20*100</f>
        <v>1.7717213518696189</v>
      </c>
      <c r="J16" s="33"/>
      <c r="K16" s="85"/>
      <c r="L16" s="85"/>
      <c r="M16" s="85"/>
      <c r="N16" s="85"/>
      <c r="O16" s="85"/>
      <c r="P16" s="85"/>
      <c r="Q16" s="33"/>
      <c r="R16" s="36"/>
      <c r="S16" s="36"/>
      <c r="T16" s="27"/>
      <c r="U16" s="6"/>
      <c r="V16" s="6"/>
      <c r="W16" s="46"/>
      <c r="X16" s="6"/>
      <c r="Y16" s="6"/>
      <c r="Z16" s="38"/>
      <c r="AA16" s="38"/>
      <c r="AB16" s="38"/>
      <c r="AC16" s="38"/>
      <c r="AD16" s="38"/>
      <c r="AE16" s="38"/>
      <c r="AF16" s="38"/>
      <c r="AG16" s="38"/>
      <c r="AH16" s="38"/>
      <c r="AI16" s="101"/>
      <c r="AJ16" s="101"/>
      <c r="AK16" s="40"/>
      <c r="AL16" s="40"/>
      <c r="AM16" s="101"/>
      <c r="AN16" s="36">
        <f t="shared" si="16"/>
        <v>156.331</v>
      </c>
      <c r="AO16" s="36">
        <f t="shared" si="17"/>
        <v>154.22099999999998</v>
      </c>
      <c r="AP16" s="36">
        <f t="shared" si="18"/>
        <v>26.233</v>
      </c>
      <c r="AQ16" s="36">
        <f t="shared" si="19"/>
        <v>-127.98799999999997</v>
      </c>
      <c r="AR16" s="46">
        <f t="shared" si="20"/>
        <v>17.010005122518987</v>
      </c>
      <c r="AS16" s="46">
        <f t="shared" si="21"/>
        <v>-82.98999487748101</v>
      </c>
      <c r="AT16" s="46">
        <f t="shared" si="22"/>
        <v>16.780421029738186</v>
      </c>
      <c r="AU16" s="5"/>
      <c r="AV16" s="5"/>
      <c r="AW16" s="5"/>
      <c r="AX16" s="12"/>
      <c r="AY16" s="27"/>
      <c r="AZ16" s="27"/>
      <c r="BA16" s="46"/>
      <c r="BB16" s="33">
        <v>0.051</v>
      </c>
      <c r="BC16" s="2"/>
      <c r="BD16" s="2"/>
      <c r="BE16" s="2"/>
      <c r="BF16" s="32">
        <f>BB16*BF23%</f>
        <v>0.051</v>
      </c>
      <c r="BG16" s="36">
        <v>0.13</v>
      </c>
      <c r="BH16" s="36">
        <f t="shared" si="23"/>
        <v>0.07900000000000001</v>
      </c>
      <c r="BI16" s="46"/>
      <c r="BJ16" s="33">
        <v>148.72</v>
      </c>
      <c r="BK16" s="5"/>
      <c r="BL16" s="5"/>
      <c r="BM16" s="5"/>
      <c r="BN16" s="32">
        <f>BJ16*BN23%</f>
        <v>140.39999999999998</v>
      </c>
      <c r="BO16" s="36">
        <v>25.199</v>
      </c>
      <c r="BP16" s="36">
        <f t="shared" si="24"/>
        <v>-115.20099999999998</v>
      </c>
      <c r="BQ16" s="46">
        <f t="shared" si="25"/>
        <v>17.948005698005705</v>
      </c>
      <c r="BR16" s="47">
        <v>7.56</v>
      </c>
      <c r="BS16" s="5"/>
      <c r="BT16" s="5"/>
      <c r="BU16" s="6"/>
      <c r="BV16" s="32">
        <f>BR16*BV23%</f>
        <v>13.770000000000001</v>
      </c>
      <c r="BW16" s="65">
        <v>0.904</v>
      </c>
      <c r="BX16" s="36">
        <f t="shared" si="26"/>
        <v>-12.866000000000001</v>
      </c>
      <c r="BY16" s="46">
        <f t="shared" si="27"/>
        <v>6.564996368917937</v>
      </c>
      <c r="BZ16" s="134">
        <f t="shared" si="28"/>
        <v>852.6619999999999</v>
      </c>
      <c r="CA16" s="36">
        <f t="shared" si="1"/>
        <v>896.9405000000002</v>
      </c>
      <c r="CB16" s="36">
        <f t="shared" si="29"/>
        <v>1051.773</v>
      </c>
      <c r="CC16" s="36">
        <f t="shared" si="30"/>
        <v>154.83249999999975</v>
      </c>
      <c r="CD16" s="46">
        <f t="shared" si="31"/>
        <v>117.2622933182301</v>
      </c>
      <c r="CE16" s="46">
        <f t="shared" si="32"/>
        <v>17.262293318230107</v>
      </c>
      <c r="CF16" s="46">
        <f t="shared" si="33"/>
        <v>123.35169152606778</v>
      </c>
      <c r="CG16" s="46">
        <f>CB16/CB20*100</f>
        <v>5.0686602302314165</v>
      </c>
      <c r="CH16" s="47">
        <v>18.173</v>
      </c>
      <c r="CI16" s="5"/>
      <c r="CJ16" s="5"/>
      <c r="CK16" s="6"/>
      <c r="CL16" s="32">
        <f>CH16*CL23%</f>
        <v>25.075000000000003</v>
      </c>
      <c r="CM16" s="36">
        <v>5.344</v>
      </c>
      <c r="CN16" s="36">
        <f t="shared" si="34"/>
        <v>-19.731</v>
      </c>
      <c r="CO16" s="46">
        <f t="shared" si="35"/>
        <v>21.312063808574276</v>
      </c>
      <c r="CP16" s="33">
        <v>200.31</v>
      </c>
      <c r="CQ16" s="5"/>
      <c r="CR16" s="5"/>
      <c r="CS16" s="6"/>
      <c r="CT16" s="32">
        <f>CP16*CT23%</f>
        <v>220.44000000000003</v>
      </c>
      <c r="CU16" s="36">
        <v>305.4</v>
      </c>
      <c r="CV16" s="36">
        <f t="shared" si="36"/>
        <v>84.95999999999995</v>
      </c>
      <c r="CW16" s="46">
        <f t="shared" si="37"/>
        <v>138.5410996189439</v>
      </c>
      <c r="CX16" s="47">
        <v>573.24</v>
      </c>
      <c r="CY16" s="5"/>
      <c r="CZ16" s="5"/>
      <c r="DA16" s="6"/>
      <c r="DB16" s="32">
        <f>CX16*DB23%</f>
        <v>579.7</v>
      </c>
      <c r="DC16" s="36">
        <v>613.246</v>
      </c>
      <c r="DD16" s="36">
        <f t="shared" si="38"/>
        <v>33.545999999999935</v>
      </c>
      <c r="DE16" s="46">
        <f t="shared" si="39"/>
        <v>105.7867862687597</v>
      </c>
      <c r="DF16" s="33">
        <v>60.939</v>
      </c>
      <c r="DG16" s="5"/>
      <c r="DH16" s="5"/>
      <c r="DI16" s="6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6"/>
      <c r="DV16" s="32">
        <f>DF16*DV23%</f>
        <v>71.72550000000001</v>
      </c>
      <c r="DW16" s="36">
        <v>127.783</v>
      </c>
      <c r="DX16" s="36">
        <f t="shared" si="40"/>
        <v>56.05749999999999</v>
      </c>
      <c r="DY16" s="46">
        <f t="shared" si="41"/>
        <v>178.15560714111436</v>
      </c>
      <c r="DZ16" s="33"/>
      <c r="EA16" s="6"/>
      <c r="EB16" s="6"/>
      <c r="EC16" s="6"/>
      <c r="ED16" s="6"/>
      <c r="EE16" s="36">
        <f t="shared" si="2"/>
        <v>660.8</v>
      </c>
      <c r="EF16" s="36">
        <f t="shared" si="42"/>
        <v>653.3500000000001</v>
      </c>
      <c r="EG16" s="36">
        <f t="shared" si="43"/>
        <v>634.822</v>
      </c>
      <c r="EH16" s="36">
        <f t="shared" si="44"/>
        <v>-18.528000000000134</v>
      </c>
      <c r="EI16" s="46">
        <f t="shared" si="61"/>
        <v>97.16415397566387</v>
      </c>
      <c r="EJ16" s="46">
        <f t="shared" si="45"/>
        <v>-2.835846024336135</v>
      </c>
      <c r="EK16" s="46">
        <f t="shared" si="46"/>
        <v>96.06870460048427</v>
      </c>
      <c r="EL16" s="46">
        <f>EG16/EG20*100</f>
        <v>3.794166318820374</v>
      </c>
      <c r="EM16" s="33">
        <v>72</v>
      </c>
      <c r="EN16" s="5"/>
      <c r="EO16" s="5"/>
      <c r="EP16" s="5"/>
      <c r="EQ16" s="5"/>
      <c r="ER16" s="5"/>
      <c r="ES16" s="5"/>
      <c r="ET16" s="6"/>
      <c r="EU16" s="32">
        <f>EM16*EU23%</f>
        <v>60.24</v>
      </c>
      <c r="EV16" s="36">
        <v>90.901</v>
      </c>
      <c r="EW16" s="36">
        <f t="shared" si="47"/>
        <v>30.660999999999994</v>
      </c>
      <c r="EX16" s="46">
        <f t="shared" si="48"/>
        <v>150.89807436918989</v>
      </c>
      <c r="EY16" s="33">
        <v>112.7</v>
      </c>
      <c r="EZ16" s="32">
        <f>EY16*EZ23%</f>
        <v>124.60000000000004</v>
      </c>
      <c r="FA16" s="36">
        <v>119.875</v>
      </c>
      <c r="FB16" s="36">
        <f t="shared" si="49"/>
        <v>-4.725000000000037</v>
      </c>
      <c r="FC16" s="46">
        <f t="shared" si="50"/>
        <v>96.2078651685393</v>
      </c>
      <c r="FD16" s="32">
        <v>476.1</v>
      </c>
      <c r="FE16" s="5"/>
      <c r="FF16" s="5"/>
      <c r="FG16" s="32">
        <f>FD16*FG23%</f>
        <v>468.51000000000005</v>
      </c>
      <c r="FH16" s="36">
        <f>257.343+42.777+123.926</f>
        <v>424.046</v>
      </c>
      <c r="FI16" s="36">
        <f t="shared" si="51"/>
        <v>-44.464000000000055</v>
      </c>
      <c r="FJ16" s="46">
        <f t="shared" si="52"/>
        <v>90.50948752427908</v>
      </c>
      <c r="FK16" s="50"/>
      <c r="FL16" s="6"/>
      <c r="FM16" s="6"/>
      <c r="FN16" s="6"/>
      <c r="FO16" s="6"/>
      <c r="FP16" s="5"/>
      <c r="FQ16" s="2"/>
      <c r="FR16" s="2"/>
      <c r="FS16" s="2"/>
      <c r="FT16" s="2"/>
      <c r="FU16" s="2"/>
      <c r="FV16" s="2"/>
      <c r="FW16" s="3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3"/>
      <c r="GJ16" s="2"/>
      <c r="GK16" s="2"/>
      <c r="GL16" s="2"/>
      <c r="GM16" s="2"/>
      <c r="GN16" s="2"/>
      <c r="GO16" s="2"/>
      <c r="GP16" s="2"/>
      <c r="GQ16" s="3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62"/>
      <c r="HD16" s="32"/>
      <c r="HE16" s="7"/>
      <c r="HF16" s="17"/>
      <c r="HG16" s="52"/>
      <c r="HH16" s="23"/>
      <c r="HI16" s="12"/>
      <c r="HJ16" s="3"/>
      <c r="HK16" s="6"/>
      <c r="HL16" s="60"/>
      <c r="HM16" s="110"/>
      <c r="HN16" s="75"/>
      <c r="HO16" s="38"/>
      <c r="HP16" s="78"/>
      <c r="HQ16" s="57"/>
      <c r="HR16" s="34"/>
      <c r="HS16" s="21"/>
      <c r="HT16" s="45"/>
      <c r="HU16" s="6"/>
      <c r="HV16" s="101"/>
      <c r="HW16" s="101"/>
      <c r="HX16" s="101"/>
      <c r="HY16" s="40">
        <f>B16+J16+R16+AN16+BZ16+DZ16+EE16+FK16+FP16+HG16+HL16+HQ16-0.001</f>
        <v>2694.8019999999997</v>
      </c>
      <c r="HZ16" s="36">
        <f t="shared" si="53"/>
        <v>2731.3865725531487</v>
      </c>
      <c r="IA16" s="36">
        <f t="shared" si="54"/>
        <v>2848.8940000000002</v>
      </c>
      <c r="IB16" s="36">
        <f t="shared" si="55"/>
        <v>117.50742744685158</v>
      </c>
      <c r="IC16" s="45">
        <f t="shared" si="56"/>
        <v>104.30211631805058</v>
      </c>
      <c r="ID16" s="118">
        <f t="shared" si="57"/>
        <v>4.3021163180505795</v>
      </c>
      <c r="IE16" s="46">
        <f t="shared" si="58"/>
        <v>105.71811955015622</v>
      </c>
      <c r="IF16" s="46">
        <f>IA16/IA20*100</f>
        <v>2.409516253472679</v>
      </c>
      <c r="IG16" s="86">
        <v>2698.351</v>
      </c>
      <c r="IH16" s="32">
        <f t="shared" si="59"/>
        <v>150.54300000000012</v>
      </c>
      <c r="II16" s="6">
        <f t="shared" si="60"/>
        <v>5.579074034475127</v>
      </c>
    </row>
    <row r="17" spans="1:243" ht="12.75">
      <c r="A17" s="8"/>
      <c r="B17" s="94"/>
      <c r="C17" s="96"/>
      <c r="D17" s="96"/>
      <c r="E17" s="96"/>
      <c r="F17" s="99"/>
      <c r="G17" s="99"/>
      <c r="H17" s="96"/>
      <c r="I17" s="96"/>
      <c r="J17" s="5"/>
      <c r="K17" s="5"/>
      <c r="L17" s="5"/>
      <c r="M17" s="5"/>
      <c r="N17" s="5"/>
      <c r="O17" s="5"/>
      <c r="P17" s="5"/>
      <c r="Q17" s="5"/>
      <c r="R17" s="36"/>
      <c r="S17" s="36"/>
      <c r="T17" s="27"/>
      <c r="U17" s="5"/>
      <c r="V17" s="5"/>
      <c r="W17" s="46"/>
      <c r="X17" s="5"/>
      <c r="Y17" s="5"/>
      <c r="Z17" s="10"/>
      <c r="AA17" s="10"/>
      <c r="AB17" s="10"/>
      <c r="AC17" s="10"/>
      <c r="AD17" s="10"/>
      <c r="AE17" s="10"/>
      <c r="AF17" s="10"/>
      <c r="AG17" s="10"/>
      <c r="AH17" s="10"/>
      <c r="AI17" s="100"/>
      <c r="AJ17" s="100"/>
      <c r="AK17" s="40"/>
      <c r="AL17" s="40"/>
      <c r="AM17" s="101"/>
      <c r="AN17" s="36"/>
      <c r="AO17" s="36"/>
      <c r="AP17" s="46"/>
      <c r="AQ17" s="36"/>
      <c r="AR17" s="46"/>
      <c r="AS17" s="46"/>
      <c r="AT17" s="46"/>
      <c r="AU17" s="5"/>
      <c r="AV17" s="5"/>
      <c r="AW17" s="5"/>
      <c r="AX17" s="12"/>
      <c r="AY17" s="27"/>
      <c r="AZ17" s="27"/>
      <c r="BA17" s="46"/>
      <c r="BB17" s="33"/>
      <c r="BC17" s="2"/>
      <c r="BD17" s="2"/>
      <c r="BE17" s="2"/>
      <c r="BF17" s="2"/>
      <c r="BG17" s="43"/>
      <c r="BH17" s="89"/>
      <c r="BI17" s="3"/>
      <c r="BJ17" s="33"/>
      <c r="BK17" s="5"/>
      <c r="BL17" s="5"/>
      <c r="BM17" s="6"/>
      <c r="BN17" s="32"/>
      <c r="BO17" s="36"/>
      <c r="BP17" s="36"/>
      <c r="BQ17" s="46"/>
      <c r="BR17" s="47"/>
      <c r="BS17" s="5"/>
      <c r="BT17" s="5"/>
      <c r="BU17" s="6"/>
      <c r="BV17" s="6"/>
      <c r="BW17" s="65"/>
      <c r="BX17" s="65"/>
      <c r="BY17" s="46"/>
      <c r="BZ17" s="134"/>
      <c r="CA17" s="36"/>
      <c r="CB17" s="36"/>
      <c r="CC17" s="36"/>
      <c r="CD17" s="46"/>
      <c r="CE17" s="46"/>
      <c r="CF17" s="46"/>
      <c r="CG17" s="46"/>
      <c r="CH17" s="47"/>
      <c r="CI17" s="5"/>
      <c r="CJ17" s="5"/>
      <c r="CK17" s="6"/>
      <c r="CL17" s="6"/>
      <c r="CM17" s="46"/>
      <c r="CN17" s="36"/>
      <c r="CO17" s="46"/>
      <c r="CP17" s="47"/>
      <c r="CQ17" s="5"/>
      <c r="CR17" s="5"/>
      <c r="CS17" s="6"/>
      <c r="CT17" s="12"/>
      <c r="CU17" s="36"/>
      <c r="CV17" s="36"/>
      <c r="CW17" s="46"/>
      <c r="CX17" s="47"/>
      <c r="CY17" s="5"/>
      <c r="CZ17" s="5"/>
      <c r="DA17" s="6"/>
      <c r="DB17" s="6"/>
      <c r="DC17" s="46"/>
      <c r="DD17" s="36"/>
      <c r="DE17" s="46"/>
      <c r="DF17" s="33"/>
      <c r="DG17" s="5"/>
      <c r="DH17" s="5"/>
      <c r="DI17" s="6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6"/>
      <c r="DV17" s="12"/>
      <c r="DW17" s="27"/>
      <c r="DX17" s="36"/>
      <c r="DY17" s="46"/>
      <c r="DZ17" s="48"/>
      <c r="EA17" s="5"/>
      <c r="EB17" s="5"/>
      <c r="EC17" s="5"/>
      <c r="ED17" s="5"/>
      <c r="EE17" s="36"/>
      <c r="EF17" s="36"/>
      <c r="EG17" s="36"/>
      <c r="EH17" s="36"/>
      <c r="EI17" s="46"/>
      <c r="EJ17" s="46"/>
      <c r="EK17" s="46"/>
      <c r="EL17" s="46"/>
      <c r="EM17" s="33"/>
      <c r="EN17" s="5"/>
      <c r="EO17" s="5"/>
      <c r="EP17" s="6"/>
      <c r="EQ17" s="5"/>
      <c r="ER17" s="5"/>
      <c r="ES17" s="5"/>
      <c r="ET17" s="6"/>
      <c r="EU17" s="12"/>
      <c r="EV17" s="27"/>
      <c r="EW17" s="36"/>
      <c r="EX17" s="46"/>
      <c r="EY17" s="49"/>
      <c r="EZ17" s="12"/>
      <c r="FA17" s="36"/>
      <c r="FB17" s="36"/>
      <c r="FC17" s="46"/>
      <c r="FD17" s="49"/>
      <c r="FE17" s="5"/>
      <c r="FF17" s="5"/>
      <c r="FG17" s="12"/>
      <c r="FH17" s="36"/>
      <c r="FI17" s="36"/>
      <c r="FJ17" s="46"/>
      <c r="FK17" s="50"/>
      <c r="FL17" s="6"/>
      <c r="FM17" s="6"/>
      <c r="FN17" s="6"/>
      <c r="FO17" s="6"/>
      <c r="FP17" s="5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3"/>
      <c r="GJ17" s="2"/>
      <c r="GK17" s="2"/>
      <c r="GL17" s="2"/>
      <c r="GM17" s="2"/>
      <c r="GN17" s="2"/>
      <c r="GO17" s="2"/>
      <c r="GP17" s="2"/>
      <c r="GQ17" s="3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11"/>
      <c r="HD17" s="11"/>
      <c r="HE17" s="3"/>
      <c r="HF17" s="18"/>
      <c r="HG17" s="51"/>
      <c r="HH17" s="12"/>
      <c r="HI17" s="12"/>
      <c r="HJ17" s="3"/>
      <c r="HK17" s="6"/>
      <c r="HL17" s="59"/>
      <c r="HM17" s="112"/>
      <c r="HN17" s="76"/>
      <c r="HO17" s="104"/>
      <c r="HP17" s="79"/>
      <c r="HQ17" s="56"/>
      <c r="HR17" s="12"/>
      <c r="HS17" s="25"/>
      <c r="HT17" s="45"/>
      <c r="HU17" s="6"/>
      <c r="HV17" s="101"/>
      <c r="HW17" s="101"/>
      <c r="HX17" s="101"/>
      <c r="HY17" s="40"/>
      <c r="HZ17" s="36"/>
      <c r="IA17" s="36"/>
      <c r="IB17" s="6"/>
      <c r="IC17" s="42"/>
      <c r="ID17" s="118"/>
      <c r="IE17" s="46"/>
      <c r="IF17" s="46"/>
      <c r="IG17" s="86"/>
      <c r="IH17" s="8"/>
      <c r="II17" s="6"/>
    </row>
    <row r="18" spans="1:243" ht="12.75">
      <c r="A18" s="9"/>
      <c r="B18" s="94"/>
      <c r="C18" s="96"/>
      <c r="D18" s="96"/>
      <c r="E18" s="96"/>
      <c r="F18" s="99"/>
      <c r="G18" s="99"/>
      <c r="H18" s="96"/>
      <c r="I18" s="96"/>
      <c r="J18" s="5"/>
      <c r="K18" s="86"/>
      <c r="L18" s="86"/>
      <c r="M18" s="86"/>
      <c r="N18" s="86"/>
      <c r="O18" s="86"/>
      <c r="P18" s="86"/>
      <c r="Q18" s="5"/>
      <c r="R18" s="36"/>
      <c r="S18" s="36"/>
      <c r="T18" s="27"/>
      <c r="U18" s="5"/>
      <c r="V18" s="5"/>
      <c r="W18" s="46"/>
      <c r="X18" s="5"/>
      <c r="Y18" s="5"/>
      <c r="Z18" s="10"/>
      <c r="AA18" s="10"/>
      <c r="AB18" s="10"/>
      <c r="AC18" s="10"/>
      <c r="AD18" s="10"/>
      <c r="AE18" s="10"/>
      <c r="AF18" s="10"/>
      <c r="AG18" s="10"/>
      <c r="AH18" s="10"/>
      <c r="AI18" s="100"/>
      <c r="AJ18" s="100"/>
      <c r="AK18" s="40"/>
      <c r="AL18" s="40"/>
      <c r="AM18" s="101"/>
      <c r="AN18" s="36"/>
      <c r="AO18" s="36"/>
      <c r="AP18" s="46"/>
      <c r="AQ18" s="36"/>
      <c r="AR18" s="46"/>
      <c r="AS18" s="46"/>
      <c r="AT18" s="46"/>
      <c r="AU18" s="5"/>
      <c r="AV18" s="5"/>
      <c r="AW18" s="5"/>
      <c r="AX18" s="12"/>
      <c r="AY18" s="27"/>
      <c r="AZ18" s="27"/>
      <c r="BA18" s="46"/>
      <c r="BB18" s="33"/>
      <c r="BC18" s="2"/>
      <c r="BD18" s="2"/>
      <c r="BE18" s="3"/>
      <c r="BF18" s="3"/>
      <c r="BG18" s="64"/>
      <c r="BH18" s="89"/>
      <c r="BI18" s="3"/>
      <c r="BJ18" s="33"/>
      <c r="BK18" s="5"/>
      <c r="BL18" s="5"/>
      <c r="BM18" s="6"/>
      <c r="BN18" s="32"/>
      <c r="BO18" s="36"/>
      <c r="BP18" s="36"/>
      <c r="BQ18" s="46"/>
      <c r="BR18" s="47"/>
      <c r="BS18" s="5"/>
      <c r="BT18" s="5"/>
      <c r="BU18" s="6"/>
      <c r="BV18" s="6"/>
      <c r="BW18" s="65"/>
      <c r="BX18" s="65"/>
      <c r="BY18" s="46"/>
      <c r="BZ18" s="134"/>
      <c r="CA18" s="36"/>
      <c r="CB18" s="36"/>
      <c r="CC18" s="36"/>
      <c r="CD18" s="46"/>
      <c r="CE18" s="46"/>
      <c r="CF18" s="46"/>
      <c r="CG18" s="46"/>
      <c r="CH18" s="47"/>
      <c r="CI18" s="5"/>
      <c r="CJ18" s="5"/>
      <c r="CK18" s="6"/>
      <c r="CL18" s="6"/>
      <c r="CM18" s="46"/>
      <c r="CN18" s="36"/>
      <c r="CO18" s="46"/>
      <c r="CP18" s="47"/>
      <c r="CQ18" s="5"/>
      <c r="CR18" s="5"/>
      <c r="CS18" s="6"/>
      <c r="CT18" s="6"/>
      <c r="CU18" s="36"/>
      <c r="CV18" s="36"/>
      <c r="CW18" s="46"/>
      <c r="CX18" s="47"/>
      <c r="CY18" s="5">
        <v>179972.7</v>
      </c>
      <c r="CZ18" s="5">
        <f>CX18-CY18</f>
        <v>-179972.7</v>
      </c>
      <c r="DA18" s="6">
        <f>CX18/CY18*100</f>
        <v>0</v>
      </c>
      <c r="DB18" s="6"/>
      <c r="DC18" s="46"/>
      <c r="DD18" s="36"/>
      <c r="DE18" s="46"/>
      <c r="DF18" s="33"/>
      <c r="DG18" s="5">
        <v>690124.42</v>
      </c>
      <c r="DH18" s="5">
        <f>DF18-DG18</f>
        <v>-690124.42</v>
      </c>
      <c r="DI18" s="6">
        <f>DF18/DG18*100</f>
        <v>0</v>
      </c>
      <c r="DJ18" s="5"/>
      <c r="DK18" s="5">
        <v>25000</v>
      </c>
      <c r="DL18" s="5">
        <f>DJ18-DK18</f>
        <v>-25000</v>
      </c>
      <c r="DM18" s="5">
        <v>0</v>
      </c>
      <c r="DN18" s="5"/>
      <c r="DO18" s="5" t="s">
        <v>1</v>
      </c>
      <c r="DP18" s="5"/>
      <c r="DQ18" s="5">
        <f>IF(DN18=0,0,DO18/DN18*100)</f>
        <v>0</v>
      </c>
      <c r="DR18" s="5"/>
      <c r="DS18" s="5">
        <v>958330.24</v>
      </c>
      <c r="DT18" s="5">
        <f>DR18-DS18</f>
        <v>-958330.24</v>
      </c>
      <c r="DU18" s="6">
        <f>DR18/DS18*100</f>
        <v>0</v>
      </c>
      <c r="DV18" s="12"/>
      <c r="DW18" s="27"/>
      <c r="DX18" s="36"/>
      <c r="DY18" s="46"/>
      <c r="DZ18" s="48"/>
      <c r="EA18" s="5"/>
      <c r="EB18" s="5"/>
      <c r="EC18" s="5"/>
      <c r="ED18" s="5"/>
      <c r="EE18" s="36"/>
      <c r="EF18" s="36"/>
      <c r="EG18" s="36"/>
      <c r="EH18" s="36"/>
      <c r="EI18" s="46"/>
      <c r="EJ18" s="46"/>
      <c r="EK18" s="46"/>
      <c r="EL18" s="46"/>
      <c r="EM18" s="33"/>
      <c r="EN18" s="5">
        <v>-150</v>
      </c>
      <c r="EO18" s="5">
        <f>EM18-EN18</f>
        <v>150</v>
      </c>
      <c r="EP18" s="5">
        <f>IF(EM18=0,0,EN18/EM18*100)</f>
        <v>0</v>
      </c>
      <c r="EQ18" s="5">
        <v>155000</v>
      </c>
      <c r="ER18" s="5">
        <v>161195.36</v>
      </c>
      <c r="ES18" s="5">
        <f>EQ18-ER18</f>
        <v>-6195.359999999986</v>
      </c>
      <c r="ET18" s="6">
        <f>EQ18/ER18*100</f>
        <v>96.15661393727463</v>
      </c>
      <c r="EU18" s="12"/>
      <c r="EV18" s="27"/>
      <c r="EW18" s="36"/>
      <c r="EX18" s="46"/>
      <c r="EY18" s="49"/>
      <c r="EZ18" s="12"/>
      <c r="FA18" s="36"/>
      <c r="FB18" s="36"/>
      <c r="FC18" s="46"/>
      <c r="FD18" s="49"/>
      <c r="FE18" s="5">
        <v>797284.88</v>
      </c>
      <c r="FF18" s="5">
        <f>FD18-FE18</f>
        <v>-797284.88</v>
      </c>
      <c r="FG18" s="12"/>
      <c r="FH18" s="36"/>
      <c r="FI18" s="36"/>
      <c r="FJ18" s="46"/>
      <c r="FK18" s="50"/>
      <c r="FL18" s="6"/>
      <c r="FM18" s="6"/>
      <c r="FN18" s="6"/>
      <c r="FO18" s="6"/>
      <c r="FP18" s="5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3"/>
      <c r="GJ18" s="2"/>
      <c r="GK18" s="2"/>
      <c r="GL18" s="2"/>
      <c r="GM18" s="3"/>
      <c r="GN18" s="2"/>
      <c r="GO18" s="2"/>
      <c r="GP18" s="2"/>
      <c r="GQ18" s="3"/>
      <c r="GR18" s="2"/>
      <c r="GS18" s="2"/>
      <c r="GT18" s="2"/>
      <c r="GU18" s="2"/>
      <c r="GV18" s="2"/>
      <c r="GW18" s="2"/>
      <c r="GX18" s="2"/>
      <c r="GY18" s="3"/>
      <c r="GZ18" s="2"/>
      <c r="HA18" s="2"/>
      <c r="HB18" s="2"/>
      <c r="HC18" s="29"/>
      <c r="HD18" s="11"/>
      <c r="HE18" s="7"/>
      <c r="HF18" s="17"/>
      <c r="HG18" s="52"/>
      <c r="HH18" s="23"/>
      <c r="HI18" s="12"/>
      <c r="HJ18" s="3"/>
      <c r="HK18" s="6"/>
      <c r="HL18" s="60"/>
      <c r="HM18" s="113"/>
      <c r="HN18" s="76"/>
      <c r="HO18" s="38"/>
      <c r="HP18" s="78"/>
      <c r="HQ18" s="57"/>
      <c r="HR18" s="23"/>
      <c r="HS18" s="21"/>
      <c r="HT18" s="45"/>
      <c r="HU18" s="6"/>
      <c r="HV18" s="101"/>
      <c r="HW18" s="101"/>
      <c r="HX18" s="101"/>
      <c r="HY18" s="40"/>
      <c r="HZ18" s="36"/>
      <c r="IA18" s="36"/>
      <c r="IB18" s="6"/>
      <c r="IC18" s="42"/>
      <c r="ID18" s="118"/>
      <c r="IE18" s="46"/>
      <c r="IF18" s="46"/>
      <c r="IG18" s="86"/>
      <c r="IH18" s="8"/>
      <c r="II18" s="6"/>
    </row>
    <row r="19" spans="1:243" ht="13.5" thickBot="1">
      <c r="A19" s="68"/>
      <c r="B19" s="98"/>
      <c r="C19" s="97"/>
      <c r="D19" s="97"/>
      <c r="E19" s="97"/>
      <c r="F19" s="129"/>
      <c r="G19" s="129"/>
      <c r="H19" s="97"/>
      <c r="I19" s="97"/>
      <c r="J19" s="28"/>
      <c r="K19" s="87"/>
      <c r="L19" s="87"/>
      <c r="M19" s="87"/>
      <c r="N19" s="87"/>
      <c r="O19" s="87"/>
      <c r="P19" s="87"/>
      <c r="Q19" s="28"/>
      <c r="R19" s="34"/>
      <c r="S19" s="34"/>
      <c r="T19" s="23"/>
      <c r="U19" s="28"/>
      <c r="V19" s="28"/>
      <c r="W19" s="20"/>
      <c r="X19" s="28"/>
      <c r="Y19" s="28"/>
      <c r="Z19" s="39"/>
      <c r="AA19" s="39"/>
      <c r="AB19" s="39"/>
      <c r="AC19" s="39"/>
      <c r="AD19" s="39"/>
      <c r="AE19" s="39"/>
      <c r="AF19" s="39"/>
      <c r="AG19" s="39"/>
      <c r="AH19" s="39"/>
      <c r="AI19" s="102"/>
      <c r="AJ19" s="102"/>
      <c r="AK19" s="103"/>
      <c r="AL19" s="103"/>
      <c r="AM19" s="104"/>
      <c r="AN19" s="34"/>
      <c r="AO19" s="34"/>
      <c r="AP19" s="108"/>
      <c r="AQ19" s="34"/>
      <c r="AR19" s="20"/>
      <c r="AS19" s="20"/>
      <c r="AT19" s="20"/>
      <c r="AU19" s="28"/>
      <c r="AV19" s="28"/>
      <c r="AW19" s="28"/>
      <c r="AX19" s="24"/>
      <c r="AY19" s="23"/>
      <c r="AZ19" s="23"/>
      <c r="BA19" s="20"/>
      <c r="BB19" s="88"/>
      <c r="BC19" s="69">
        <v>729.58</v>
      </c>
      <c r="BD19" s="69">
        <f>BB19-BC19</f>
        <v>-729.58</v>
      </c>
      <c r="BE19" s="4">
        <f>BB19/BC19*100</f>
        <v>0</v>
      </c>
      <c r="BF19" s="4"/>
      <c r="BG19" s="7"/>
      <c r="BH19" s="89"/>
      <c r="BI19" s="4"/>
      <c r="BJ19" s="88"/>
      <c r="BK19" s="28"/>
      <c r="BL19" s="28"/>
      <c r="BM19" s="28">
        <f>IF(BJ19=0,0,BK19/BJ19*100)</f>
        <v>0</v>
      </c>
      <c r="BN19" s="62"/>
      <c r="BO19" s="34"/>
      <c r="BP19" s="34"/>
      <c r="BQ19" s="20"/>
      <c r="BR19" s="71"/>
      <c r="BS19" s="28">
        <v>4446.05</v>
      </c>
      <c r="BT19" s="28">
        <f>BR19-BS19</f>
        <v>-4446.05</v>
      </c>
      <c r="BU19" s="22">
        <f>BR19/BS19*100</f>
        <v>0</v>
      </c>
      <c r="BV19" s="22"/>
      <c r="BW19" s="92"/>
      <c r="BX19" s="92"/>
      <c r="BY19" s="20"/>
      <c r="BZ19" s="135"/>
      <c r="CA19" s="34"/>
      <c r="CB19" s="34"/>
      <c r="CC19" s="34"/>
      <c r="CD19" s="20"/>
      <c r="CE19" s="20"/>
      <c r="CF19" s="20"/>
      <c r="CG19" s="20"/>
      <c r="CH19" s="71"/>
      <c r="CI19" s="28">
        <v>2265.15</v>
      </c>
      <c r="CJ19" s="28">
        <f>CH19-CI19</f>
        <v>-2265.15</v>
      </c>
      <c r="CK19" s="22">
        <f>CH19/CI19*100</f>
        <v>0</v>
      </c>
      <c r="CL19" s="22"/>
      <c r="CM19" s="20"/>
      <c r="CN19" s="34"/>
      <c r="CO19" s="20"/>
      <c r="CP19" s="71"/>
      <c r="CQ19" s="28">
        <v>521002.13</v>
      </c>
      <c r="CR19" s="28">
        <f>CP19-CQ19</f>
        <v>-521002.13</v>
      </c>
      <c r="CS19" s="22">
        <f>CP19/CQ19*100</f>
        <v>0</v>
      </c>
      <c r="CT19" s="22"/>
      <c r="CU19" s="34"/>
      <c r="CV19" s="34"/>
      <c r="CW19" s="20"/>
      <c r="CX19" s="71"/>
      <c r="CY19" s="28">
        <v>40747.43</v>
      </c>
      <c r="CZ19" s="28">
        <f>CX19-CY19</f>
        <v>-40747.43</v>
      </c>
      <c r="DA19" s="22">
        <f>CX19/CY19*100</f>
        <v>0</v>
      </c>
      <c r="DB19" s="22"/>
      <c r="DC19" s="20"/>
      <c r="DD19" s="34"/>
      <c r="DE19" s="20"/>
      <c r="DF19" s="88"/>
      <c r="DG19" s="28">
        <v>91864.36</v>
      </c>
      <c r="DH19" s="28">
        <f>DF19-DG19</f>
        <v>-91864.36</v>
      </c>
      <c r="DI19" s="22">
        <f>DF19/DG19*100</f>
        <v>0</v>
      </c>
      <c r="DJ19" s="28"/>
      <c r="DK19" s="28"/>
      <c r="DL19" s="28"/>
      <c r="DM19" s="28"/>
      <c r="DN19" s="28"/>
      <c r="DO19" s="28"/>
      <c r="DP19" s="28"/>
      <c r="DQ19" s="28">
        <f>IF(DN19=0,0,DO19/DN19*100)</f>
        <v>0</v>
      </c>
      <c r="DR19" s="28"/>
      <c r="DS19" s="28">
        <v>148195.61</v>
      </c>
      <c r="DT19" s="28">
        <f>DR19-DS19</f>
        <v>-148195.61</v>
      </c>
      <c r="DU19" s="22">
        <f>DR19/DS19*100</f>
        <v>0</v>
      </c>
      <c r="DV19" s="24"/>
      <c r="DW19" s="23"/>
      <c r="DX19" s="34"/>
      <c r="DY19" s="20"/>
      <c r="DZ19" s="72"/>
      <c r="EA19" s="28"/>
      <c r="EB19" s="28"/>
      <c r="EC19" s="28"/>
      <c r="ED19" s="28"/>
      <c r="EE19" s="34"/>
      <c r="EF19" s="34"/>
      <c r="EG19" s="34"/>
      <c r="EH19" s="34"/>
      <c r="EI19" s="20"/>
      <c r="EJ19" s="20"/>
      <c r="EK19" s="20"/>
      <c r="EL19" s="20"/>
      <c r="EM19" s="88"/>
      <c r="EN19" s="28">
        <v>35390</v>
      </c>
      <c r="EO19" s="28">
        <f>EM19-EN19</f>
        <v>-35390</v>
      </c>
      <c r="EP19" s="28">
        <f>IF(EM19=0,0,EN19/EM19*100)</f>
        <v>0</v>
      </c>
      <c r="EQ19" s="28">
        <v>5135</v>
      </c>
      <c r="ER19" s="28">
        <v>5342</v>
      </c>
      <c r="ES19" s="28">
        <f>EQ19-ER19</f>
        <v>-207</v>
      </c>
      <c r="ET19" s="22">
        <f>EQ19/ER19*100</f>
        <v>96.1250467989517</v>
      </c>
      <c r="EU19" s="24"/>
      <c r="EV19" s="27"/>
      <c r="EW19" s="34"/>
      <c r="EX19" s="46"/>
      <c r="EY19" s="73"/>
      <c r="EZ19" s="24"/>
      <c r="FA19" s="36"/>
      <c r="FB19" s="34"/>
      <c r="FC19" s="20"/>
      <c r="FD19" s="73"/>
      <c r="FE19" s="28">
        <v>107463.61</v>
      </c>
      <c r="FF19" s="28">
        <f>FD19-FE19</f>
        <v>-107463.61</v>
      </c>
      <c r="FG19" s="24"/>
      <c r="FH19" s="36"/>
      <c r="FI19" s="34"/>
      <c r="FJ19" s="20"/>
      <c r="FK19" s="74"/>
      <c r="FL19" s="22"/>
      <c r="FM19" s="22"/>
      <c r="FN19" s="22"/>
      <c r="FO19" s="22"/>
      <c r="FP19" s="28"/>
      <c r="FQ19" s="69"/>
      <c r="FR19" s="69">
        <f>FP19-FQ19</f>
        <v>0</v>
      </c>
      <c r="FS19" s="69">
        <f>IF(FP19=0,0,FQ19/FP19*100)</f>
        <v>0</v>
      </c>
      <c r="FT19" s="69"/>
      <c r="FU19" s="69">
        <v>51</v>
      </c>
      <c r="FV19" s="69">
        <f>FT19-FU19</f>
        <v>-51</v>
      </c>
      <c r="FW19" s="69">
        <f>IF(FT19=0,0,FU19/FT19*100)</f>
        <v>0</v>
      </c>
      <c r="FX19" s="69"/>
      <c r="FY19" s="69"/>
      <c r="FZ19" s="69"/>
      <c r="GA19" s="69"/>
      <c r="GB19" s="69"/>
      <c r="GC19" s="69"/>
      <c r="GD19" s="69"/>
      <c r="GE19" s="69">
        <f>IF(GB19=0,0,GC19/GB19*100)</f>
        <v>0</v>
      </c>
      <c r="GF19" s="69">
        <v>627</v>
      </c>
      <c r="GG19" s="69">
        <v>794.08</v>
      </c>
      <c r="GH19" s="69">
        <f>GF19-GG19</f>
        <v>-167.08000000000004</v>
      </c>
      <c r="GI19" s="4">
        <f>GF19/GG19*100</f>
        <v>78.9592988112029</v>
      </c>
      <c r="GJ19" s="69">
        <v>590</v>
      </c>
      <c r="GK19" s="69">
        <v>640</v>
      </c>
      <c r="GL19" s="69">
        <f>GJ19-GK19</f>
        <v>-50</v>
      </c>
      <c r="GM19" s="4">
        <f>GJ19/GK19*100</f>
        <v>92.1875</v>
      </c>
      <c r="GN19" s="69">
        <v>2612</v>
      </c>
      <c r="GO19" s="69">
        <v>2612.76</v>
      </c>
      <c r="GP19" s="69">
        <f>GN19-GO19</f>
        <v>-0.7600000000002183</v>
      </c>
      <c r="GQ19" s="4">
        <f>GN19/GO19*100</f>
        <v>99.9709119857928</v>
      </c>
      <c r="GR19" s="69"/>
      <c r="GS19" s="69"/>
      <c r="GT19" s="69"/>
      <c r="GU19" s="69"/>
      <c r="GV19" s="69">
        <v>1595</v>
      </c>
      <c r="GW19" s="69"/>
      <c r="GX19" s="69">
        <f>GV19-GW19</f>
        <v>1595</v>
      </c>
      <c r="GY19" s="69">
        <f>IF(GV19=0,0,GW19/GV19*100)</f>
        <v>0</v>
      </c>
      <c r="GZ19" s="69" t="e">
        <f>J19+#REF!+#REF!+#REF!+#REF!+DR19+FP19+FT19+FX19+GB19+GF19+GJ19+GN19+GR19+GV19</f>
        <v>#REF!</v>
      </c>
      <c r="HA19" s="69">
        <v>817919.94</v>
      </c>
      <c r="HB19" s="69" t="e">
        <f>GZ19-HA19</f>
        <v>#REF!</v>
      </c>
      <c r="HC19" s="70"/>
      <c r="HD19" s="11"/>
      <c r="HE19" s="4"/>
      <c r="HF19" s="16"/>
      <c r="HG19" s="53"/>
      <c r="HH19" s="24"/>
      <c r="HI19" s="12"/>
      <c r="HJ19" s="4"/>
      <c r="HK19" s="22"/>
      <c r="HL19" s="61"/>
      <c r="HM19" s="114"/>
      <c r="HN19" s="82"/>
      <c r="HO19" s="104"/>
      <c r="HP19" s="81"/>
      <c r="HQ19" s="58"/>
      <c r="HR19" s="24"/>
      <c r="HS19" s="26"/>
      <c r="HT19" s="42"/>
      <c r="HU19" s="22"/>
      <c r="HV19" s="104"/>
      <c r="HW19" s="104"/>
      <c r="HX19" s="104"/>
      <c r="HY19" s="103"/>
      <c r="HZ19" s="34"/>
      <c r="IA19" s="34"/>
      <c r="IB19" s="22"/>
      <c r="IC19" s="42"/>
      <c r="ID19" s="127"/>
      <c r="IE19" s="20"/>
      <c r="IF19" s="20"/>
      <c r="IG19" s="87"/>
      <c r="IH19" s="8"/>
      <c r="II19" s="22"/>
    </row>
    <row r="20" spans="1:243" ht="24.75" customHeight="1" thickBot="1">
      <c r="A20" s="178" t="s">
        <v>0</v>
      </c>
      <c r="B20" s="182">
        <f>SUM(B7:B19)</f>
        <v>64063.10600000001</v>
      </c>
      <c r="C20" s="179">
        <f>SUM(C7:C19)</f>
        <v>64179.673</v>
      </c>
      <c r="D20" s="145">
        <f>SUM(D7:D19)</f>
        <v>64122.159999999996</v>
      </c>
      <c r="E20" s="145">
        <f>D20-C20</f>
        <v>-57.513000000006286</v>
      </c>
      <c r="F20" s="180">
        <f>D20/C20*100</f>
        <v>99.91038751475097</v>
      </c>
      <c r="G20" s="180">
        <f t="shared" si="6"/>
        <v>-0.08961248524903453</v>
      </c>
      <c r="H20" s="180">
        <f>D20/B20*100</f>
        <v>100.0921809816714</v>
      </c>
      <c r="I20" s="180">
        <v>100</v>
      </c>
      <c r="J20" s="181">
        <v>17.5</v>
      </c>
      <c r="K20" s="180">
        <f>SUM(K7:K19)</f>
        <v>105</v>
      </c>
      <c r="L20" s="145">
        <f>SUM(L7:L19)</f>
        <v>124.565</v>
      </c>
      <c r="M20" s="180">
        <f>SUM(M7:M19)</f>
        <v>19.564999999999998</v>
      </c>
      <c r="N20" s="180"/>
      <c r="O20" s="180">
        <f>SUM(O7:O19)</f>
        <v>107.065</v>
      </c>
      <c r="P20" s="145">
        <f>P7</f>
        <v>6.909</v>
      </c>
      <c r="Q20" s="145">
        <f>Q7+Q8+Q10+Q11+Q12+Q13+Q14+Q15+Q16+Q17</f>
        <v>0.446</v>
      </c>
      <c r="R20" s="181">
        <f>SUM(R7:R19)</f>
        <v>6736.900000000001</v>
      </c>
      <c r="S20" s="145">
        <f t="shared" si="8"/>
        <v>6950.000000000002</v>
      </c>
      <c r="T20" s="145">
        <f t="shared" si="9"/>
        <v>8066.486000000001</v>
      </c>
      <c r="U20" s="183">
        <f>T20-S20</f>
        <v>1116.485999999999</v>
      </c>
      <c r="V20" s="180">
        <f>T20/S20*100</f>
        <v>116.0645467625899</v>
      </c>
      <c r="W20" s="180">
        <f t="shared" si="12"/>
        <v>16.0645467625899</v>
      </c>
      <c r="X20" s="184">
        <f>T20/R20*100</f>
        <v>119.735872582345</v>
      </c>
      <c r="Y20" s="180">
        <f aca="true" t="shared" si="62" ref="Y20:AH20">SUM(Y7:Y19)</f>
        <v>958</v>
      </c>
      <c r="Z20" s="147">
        <f t="shared" si="62"/>
        <v>1060</v>
      </c>
      <c r="AA20" s="147">
        <f t="shared" si="62"/>
        <v>1216.482</v>
      </c>
      <c r="AB20" s="147">
        <f t="shared" si="62"/>
        <v>156.48199999999997</v>
      </c>
      <c r="AC20" s="185">
        <f t="shared" si="62"/>
        <v>114.76245283018866</v>
      </c>
      <c r="AD20" s="185">
        <f t="shared" si="62"/>
        <v>3800</v>
      </c>
      <c r="AE20" s="186">
        <f t="shared" si="62"/>
        <v>3525</v>
      </c>
      <c r="AF20" s="186">
        <f t="shared" si="62"/>
        <v>4132.809</v>
      </c>
      <c r="AG20" s="186">
        <f t="shared" si="62"/>
        <v>607.8090000000002</v>
      </c>
      <c r="AH20" s="186">
        <f t="shared" si="62"/>
        <v>117.24280851063831</v>
      </c>
      <c r="AI20" s="147">
        <f>AI7+AI8+AI10+AI11+AI12+AI13+AI14+AI15+AI9</f>
        <v>1978.8999999999999</v>
      </c>
      <c r="AJ20" s="147">
        <f>AJ7+AJ8+AJ10+AJ11+AJ12+AJ13+AJ14+AJ15+AJ9</f>
        <v>2365.0000000000014</v>
      </c>
      <c r="AK20" s="150">
        <f>SUM(AK7:AK19)</f>
        <v>2717.195</v>
      </c>
      <c r="AL20" s="145">
        <f t="shared" si="14"/>
        <v>352.1949999999988</v>
      </c>
      <c r="AM20" s="180">
        <f t="shared" si="15"/>
        <v>114.89196617336145</v>
      </c>
      <c r="AN20" s="145">
        <f>SUM(AN7:AN19)</f>
        <v>4290.501</v>
      </c>
      <c r="AO20" s="147">
        <f>SUM(AO7:AO19)</f>
        <v>5165.453</v>
      </c>
      <c r="AP20" s="146">
        <f>AP7+AP8+AP10+AP11+AP12+AP13+AP14+AP15+AP16+AP9</f>
        <v>5593.6990000000005</v>
      </c>
      <c r="AQ20" s="179">
        <f>AP20-AO20</f>
        <v>428.2460000000001</v>
      </c>
      <c r="AR20" s="187">
        <f t="shared" si="20"/>
        <v>108.29057974198972</v>
      </c>
      <c r="AS20" s="180">
        <f t="shared" si="21"/>
        <v>8.290579741989717</v>
      </c>
      <c r="AT20" s="180">
        <f>AP20/AN20*100</f>
        <v>130.37402858081145</v>
      </c>
      <c r="AU20" s="147">
        <f>SUM(AU7:AU19)</f>
        <v>43.501</v>
      </c>
      <c r="AV20" s="147">
        <f>SUM(AV7:AV19)</f>
        <v>0</v>
      </c>
      <c r="AW20" s="147">
        <f>SUM(AW7:AW19)</f>
        <v>0</v>
      </c>
      <c r="AX20" s="147">
        <f>SUM(AX7:AX19)</f>
        <v>43.45300000000001</v>
      </c>
      <c r="AY20" s="147">
        <f>SUM(AY7:AY19)</f>
        <v>49.219</v>
      </c>
      <c r="AZ20" s="150">
        <f>AY20-AX20</f>
        <v>5.765999999999991</v>
      </c>
      <c r="BA20" s="180">
        <f>AY20/AX20*100</f>
        <v>113.26950958506889</v>
      </c>
      <c r="BB20" s="147">
        <f aca="true" t="shared" si="63" ref="BB20:BG20">SUM(BB7:BB19)</f>
        <v>127</v>
      </c>
      <c r="BC20" s="147">
        <f t="shared" si="63"/>
        <v>729.58</v>
      </c>
      <c r="BD20" s="147">
        <f t="shared" si="63"/>
        <v>-729.58</v>
      </c>
      <c r="BE20" s="147">
        <f t="shared" si="63"/>
        <v>0</v>
      </c>
      <c r="BF20" s="147">
        <f t="shared" si="63"/>
        <v>127</v>
      </c>
      <c r="BG20" s="147">
        <f t="shared" si="63"/>
        <v>128.259</v>
      </c>
      <c r="BH20" s="147">
        <f>BG20-BF20</f>
        <v>1.2589999999999861</v>
      </c>
      <c r="BI20" s="185">
        <f>BG20/BF20*100</f>
        <v>100.99133858267714</v>
      </c>
      <c r="BJ20" s="148">
        <f aca="true" t="shared" si="64" ref="BJ20:BO20">SUM(BJ7:BJ19)</f>
        <v>2860</v>
      </c>
      <c r="BK20" s="148">
        <f t="shared" si="64"/>
        <v>0</v>
      </c>
      <c r="BL20" s="148">
        <f t="shared" si="64"/>
        <v>0</v>
      </c>
      <c r="BM20" s="148">
        <f t="shared" si="64"/>
        <v>0</v>
      </c>
      <c r="BN20" s="148">
        <f t="shared" si="64"/>
        <v>2700</v>
      </c>
      <c r="BO20" s="148">
        <f t="shared" si="64"/>
        <v>2998.3980000000006</v>
      </c>
      <c r="BP20" s="147">
        <f>BO20-BN20</f>
        <v>298.3980000000006</v>
      </c>
      <c r="BQ20" s="188">
        <f>BO20/BN20*100</f>
        <v>111.0517777777778</v>
      </c>
      <c r="BR20" s="147">
        <f aca="true" t="shared" si="65" ref="BR20:BW20">SUM(BR7:BR19)</f>
        <v>1259.9999999999998</v>
      </c>
      <c r="BS20" s="186">
        <f t="shared" si="65"/>
        <v>4446.05</v>
      </c>
      <c r="BT20" s="186">
        <f t="shared" si="65"/>
        <v>-4446.05</v>
      </c>
      <c r="BU20" s="186">
        <f t="shared" si="65"/>
        <v>0</v>
      </c>
      <c r="BV20" s="147">
        <f t="shared" si="65"/>
        <v>2295</v>
      </c>
      <c r="BW20" s="147">
        <f t="shared" si="65"/>
        <v>2417.8230000000003</v>
      </c>
      <c r="BX20" s="149">
        <f>BW20-BV20</f>
        <v>122.82300000000032</v>
      </c>
      <c r="BY20" s="180">
        <f t="shared" si="27"/>
        <v>105.35176470588237</v>
      </c>
      <c r="BZ20" s="145">
        <f>SUM(BZ7:BZ19)</f>
        <v>17826</v>
      </c>
      <c r="CA20" s="189">
        <f>CL20+CT20+DB20+DV20</f>
        <v>19336.5</v>
      </c>
      <c r="CB20" s="145">
        <f t="shared" si="29"/>
        <v>20750.513</v>
      </c>
      <c r="CC20" s="150">
        <f>CB20-CA20</f>
        <v>1414.012999999999</v>
      </c>
      <c r="CD20" s="180">
        <f>CB20/CA20*100</f>
        <v>107.31266258112895</v>
      </c>
      <c r="CE20" s="180">
        <f t="shared" si="32"/>
        <v>7.312662581128947</v>
      </c>
      <c r="CF20" s="180">
        <f>CB20/BZ20*100</f>
        <v>116.405884662852</v>
      </c>
      <c r="CG20" s="180">
        <v>100</v>
      </c>
      <c r="CH20" s="145">
        <f aca="true" t="shared" si="66" ref="CH20:CM20">SUM(CH7:CH19)</f>
        <v>1068.9999999999998</v>
      </c>
      <c r="CI20" s="186">
        <f t="shared" si="66"/>
        <v>2265.15</v>
      </c>
      <c r="CJ20" s="190">
        <f t="shared" si="66"/>
        <v>-2265.15</v>
      </c>
      <c r="CK20" s="190">
        <f t="shared" si="66"/>
        <v>0</v>
      </c>
      <c r="CL20" s="149">
        <f t="shared" si="66"/>
        <v>1475.0000000000002</v>
      </c>
      <c r="CM20" s="145">
        <f t="shared" si="66"/>
        <v>1791.009</v>
      </c>
      <c r="CN20" s="179">
        <f>CM20-CL20</f>
        <v>316.0089999999998</v>
      </c>
      <c r="CO20" s="188">
        <f>CM20/CL20*100</f>
        <v>121.42433898305083</v>
      </c>
      <c r="CP20" s="148">
        <f aca="true" t="shared" si="67" ref="CP20:CU20">SUM(CP7:CP19)</f>
        <v>6070</v>
      </c>
      <c r="CQ20" s="148">
        <f t="shared" si="67"/>
        <v>521002.13</v>
      </c>
      <c r="CR20" s="148">
        <f t="shared" si="67"/>
        <v>-521002.13</v>
      </c>
      <c r="CS20" s="148">
        <f t="shared" si="67"/>
        <v>0</v>
      </c>
      <c r="CT20" s="148">
        <f t="shared" si="67"/>
        <v>6679.999999999999</v>
      </c>
      <c r="CU20" s="148">
        <f t="shared" si="67"/>
        <v>7337.902999999999</v>
      </c>
      <c r="CV20" s="150">
        <f>CU20-CT20</f>
        <v>657.9030000000002</v>
      </c>
      <c r="CW20" s="180">
        <f>CU20/CT20*100</f>
        <v>109.84884730538921</v>
      </c>
      <c r="CX20" s="147">
        <f aca="true" t="shared" si="68" ref="CX20:DC20">SUM(CX7:CX19)</f>
        <v>8430</v>
      </c>
      <c r="CY20" s="147">
        <f t="shared" si="68"/>
        <v>220720.13</v>
      </c>
      <c r="CZ20" s="147">
        <f t="shared" si="68"/>
        <v>-220720.13</v>
      </c>
      <c r="DA20" s="147">
        <f t="shared" si="68"/>
        <v>0</v>
      </c>
      <c r="DB20" s="147">
        <f>SUM(DB7:DB19)</f>
        <v>8525.000000000002</v>
      </c>
      <c r="DC20" s="147">
        <f t="shared" si="68"/>
        <v>8867.832999999999</v>
      </c>
      <c r="DD20" s="179">
        <f>DC20-DB20</f>
        <v>342.8329999999969</v>
      </c>
      <c r="DE20" s="188">
        <f>DC20/DB20*100</f>
        <v>104.02150146627562</v>
      </c>
      <c r="DF20" s="148">
        <f>SUM(DF7:DF19)</f>
        <v>2257</v>
      </c>
      <c r="DG20" s="148">
        <f aca="true" t="shared" si="69" ref="DG20:DU20">SUM(DG7:DG19)</f>
        <v>781988.78</v>
      </c>
      <c r="DH20" s="148">
        <f t="shared" si="69"/>
        <v>-781988.78</v>
      </c>
      <c r="DI20" s="148">
        <f t="shared" si="69"/>
        <v>0</v>
      </c>
      <c r="DJ20" s="148">
        <f t="shared" si="69"/>
        <v>0</v>
      </c>
      <c r="DK20" s="148">
        <f t="shared" si="69"/>
        <v>25000</v>
      </c>
      <c r="DL20" s="148">
        <f t="shared" si="69"/>
        <v>-25000</v>
      </c>
      <c r="DM20" s="148">
        <f t="shared" si="69"/>
        <v>0</v>
      </c>
      <c r="DN20" s="148">
        <f t="shared" si="69"/>
        <v>0</v>
      </c>
      <c r="DO20" s="148">
        <f t="shared" si="69"/>
        <v>0</v>
      </c>
      <c r="DP20" s="148">
        <f t="shared" si="69"/>
        <v>0</v>
      </c>
      <c r="DQ20" s="148">
        <f t="shared" si="69"/>
        <v>0</v>
      </c>
      <c r="DR20" s="148">
        <f t="shared" si="69"/>
        <v>0</v>
      </c>
      <c r="DS20" s="148">
        <f t="shared" si="69"/>
        <v>1106525.85</v>
      </c>
      <c r="DT20" s="148">
        <f t="shared" si="69"/>
        <v>-1106525.85</v>
      </c>
      <c r="DU20" s="148">
        <f t="shared" si="69"/>
        <v>0</v>
      </c>
      <c r="DV20" s="148">
        <f>SUM(DV7:DV19)</f>
        <v>2656.5000000000005</v>
      </c>
      <c r="DW20" s="148">
        <f>SUM(DW7:DW19)</f>
        <v>2753.7680000000005</v>
      </c>
      <c r="DX20" s="148">
        <f>DW20-DV20</f>
        <v>97.26800000000003</v>
      </c>
      <c r="DY20" s="187">
        <f>DW20/DV20*100</f>
        <v>103.66150950498776</v>
      </c>
      <c r="DZ20" s="147">
        <f>DZ7+DZ8+DZ12+DZ15</f>
        <v>70</v>
      </c>
      <c r="EA20" s="149">
        <f>EA7+EA8+EA15</f>
        <v>50</v>
      </c>
      <c r="EB20" s="145">
        <f>EB7+EB8+EB15+EB9</f>
        <v>-12.5</v>
      </c>
      <c r="EC20" s="150">
        <f>EC7+EC8+EC15+EC9</f>
        <v>-56.25</v>
      </c>
      <c r="ED20" s="180">
        <f>ED7+ED8+ED15</f>
        <v>-12.5</v>
      </c>
      <c r="EE20" s="183">
        <f>SUM(EE7:EE19)</f>
        <v>16450</v>
      </c>
      <c r="EF20" s="145">
        <f>EU20+EZ20+FG20</f>
        <v>16945.000000000007</v>
      </c>
      <c r="EG20" s="145">
        <f t="shared" si="43"/>
        <v>16731.528</v>
      </c>
      <c r="EH20" s="150">
        <f>EG20-EF20</f>
        <v>-213.47200000000885</v>
      </c>
      <c r="EI20" s="191">
        <f t="shared" si="61"/>
        <v>98.74020655060485</v>
      </c>
      <c r="EJ20" s="180">
        <f t="shared" si="45"/>
        <v>-1.259793449395147</v>
      </c>
      <c r="EK20" s="192">
        <f>EG20/EE20*100</f>
        <v>101.71141641337384</v>
      </c>
      <c r="EL20" s="180">
        <v>100</v>
      </c>
      <c r="EM20" s="147">
        <f>SUM(EM7:EM19)</f>
        <v>1500</v>
      </c>
      <c r="EN20" s="148">
        <f aca="true" t="shared" si="70" ref="EN20:EV20">SUM(EN7:EN19)</f>
        <v>35240</v>
      </c>
      <c r="EO20" s="148">
        <f t="shared" si="70"/>
        <v>-35240</v>
      </c>
      <c r="EP20" s="148">
        <f t="shared" si="70"/>
        <v>0</v>
      </c>
      <c r="EQ20" s="148">
        <f t="shared" si="70"/>
        <v>160135</v>
      </c>
      <c r="ER20" s="148">
        <f t="shared" si="70"/>
        <v>166537.36</v>
      </c>
      <c r="ES20" s="148">
        <f t="shared" si="70"/>
        <v>-6402.359999999986</v>
      </c>
      <c r="ET20" s="148">
        <f t="shared" si="70"/>
        <v>192.28166073622634</v>
      </c>
      <c r="EU20" s="148">
        <f>SUM(EU7:EU19)</f>
        <v>1255.0000000000002</v>
      </c>
      <c r="EV20" s="149">
        <f t="shared" si="70"/>
        <v>1341.7019999999998</v>
      </c>
      <c r="EW20" s="145">
        <f>EV20-EU20</f>
        <v>86.70199999999954</v>
      </c>
      <c r="EX20" s="185">
        <f>EV20/EU20*100</f>
        <v>106.9085258964143</v>
      </c>
      <c r="EY20" s="149">
        <f>EY7+EY8+EY10+EY11+EY12+EY13+EY14+EY15+EY16+EY9</f>
        <v>8049.999999999998</v>
      </c>
      <c r="EZ20" s="145">
        <f>EZ7+EZ8+EZ10+EZ11+EZ12+EZ13+EZ14+EZ15+EZ16+EZ9</f>
        <v>8900.000000000005</v>
      </c>
      <c r="FA20" s="150">
        <f>FA7+FA8+FA10+FA11+FA12+FA13+FA14+FA15+FA16+FA9</f>
        <v>9225.599999999999</v>
      </c>
      <c r="FB20" s="183">
        <f>FA20-EZ20</f>
        <v>325.5999999999931</v>
      </c>
      <c r="FC20" s="180">
        <f>FA20/EZ20*100</f>
        <v>103.65842696629205</v>
      </c>
      <c r="FD20" s="147">
        <f>SUM(FD7:FD19)</f>
        <v>6900</v>
      </c>
      <c r="FE20" s="148">
        <f>SUM(FE7:FE19)</f>
        <v>904748.49</v>
      </c>
      <c r="FF20" s="149">
        <f>SUM(FF7:FF19)</f>
        <v>-904748.49</v>
      </c>
      <c r="FG20" s="145">
        <f>SUM(FG7:FG19)</f>
        <v>6790</v>
      </c>
      <c r="FH20" s="150">
        <f>SUM(FH7:FH19)</f>
        <v>6164.226000000001</v>
      </c>
      <c r="FI20" s="179">
        <f>FH20-FG20</f>
        <v>-625.7739999999994</v>
      </c>
      <c r="FJ20" s="187">
        <f>FH20/FG20*100</f>
        <v>90.7838880706922</v>
      </c>
      <c r="FK20" s="150">
        <f>SUM(FK7:FK19)</f>
        <v>25</v>
      </c>
      <c r="FL20" s="145">
        <f>SUM(FL7:FL19)</f>
        <v>13</v>
      </c>
      <c r="FM20" s="147">
        <f>FM7</f>
        <v>66.798</v>
      </c>
      <c r="FN20" s="148">
        <f>FM20-FL20</f>
        <v>53.798</v>
      </c>
      <c r="FO20" s="188">
        <f>FM20/FL20*100</f>
        <v>513.8307692307692</v>
      </c>
      <c r="FP20" s="148">
        <f>SUM(FP7:FP19)</f>
        <v>278</v>
      </c>
      <c r="FQ20" s="148">
        <f aca="true" t="shared" si="71" ref="FQ20:HC20">SUM(FQ7:FQ19)</f>
        <v>0</v>
      </c>
      <c r="FR20" s="148">
        <f t="shared" si="71"/>
        <v>0</v>
      </c>
      <c r="FS20" s="148">
        <f t="shared" si="71"/>
        <v>0</v>
      </c>
      <c r="FT20" s="148">
        <f t="shared" si="71"/>
        <v>0</v>
      </c>
      <c r="FU20" s="148">
        <f t="shared" si="71"/>
        <v>51</v>
      </c>
      <c r="FV20" s="148">
        <f t="shared" si="71"/>
        <v>-51</v>
      </c>
      <c r="FW20" s="148">
        <f t="shared" si="71"/>
        <v>0</v>
      </c>
      <c r="FX20" s="148">
        <f t="shared" si="71"/>
        <v>0</v>
      </c>
      <c r="FY20" s="148">
        <f t="shared" si="71"/>
        <v>0</v>
      </c>
      <c r="FZ20" s="148">
        <f t="shared" si="71"/>
        <v>0</v>
      </c>
      <c r="GA20" s="148">
        <f t="shared" si="71"/>
        <v>0</v>
      </c>
      <c r="GB20" s="148">
        <f t="shared" si="71"/>
        <v>0</v>
      </c>
      <c r="GC20" s="148">
        <f t="shared" si="71"/>
        <v>0</v>
      </c>
      <c r="GD20" s="148">
        <f t="shared" si="71"/>
        <v>0</v>
      </c>
      <c r="GE20" s="148">
        <f t="shared" si="71"/>
        <v>0</v>
      </c>
      <c r="GF20" s="148">
        <f t="shared" si="71"/>
        <v>627</v>
      </c>
      <c r="GG20" s="148">
        <f t="shared" si="71"/>
        <v>794.08</v>
      </c>
      <c r="GH20" s="148">
        <f t="shared" si="71"/>
        <v>-167.08000000000004</v>
      </c>
      <c r="GI20" s="148">
        <f t="shared" si="71"/>
        <v>78.9592988112029</v>
      </c>
      <c r="GJ20" s="148">
        <f t="shared" si="71"/>
        <v>590</v>
      </c>
      <c r="GK20" s="148">
        <f t="shared" si="71"/>
        <v>640</v>
      </c>
      <c r="GL20" s="148">
        <f t="shared" si="71"/>
        <v>-50</v>
      </c>
      <c r="GM20" s="148">
        <f t="shared" si="71"/>
        <v>92.1875</v>
      </c>
      <c r="GN20" s="148">
        <f t="shared" si="71"/>
        <v>2612</v>
      </c>
      <c r="GO20" s="148">
        <f t="shared" si="71"/>
        <v>2612.76</v>
      </c>
      <c r="GP20" s="148">
        <f t="shared" si="71"/>
        <v>-0.7600000000002183</v>
      </c>
      <c r="GQ20" s="148">
        <f t="shared" si="71"/>
        <v>99.9709119857928</v>
      </c>
      <c r="GR20" s="148">
        <f t="shared" si="71"/>
        <v>0</v>
      </c>
      <c r="GS20" s="148">
        <f t="shared" si="71"/>
        <v>0</v>
      </c>
      <c r="GT20" s="148">
        <f t="shared" si="71"/>
        <v>0</v>
      </c>
      <c r="GU20" s="148">
        <f t="shared" si="71"/>
        <v>0</v>
      </c>
      <c r="GV20" s="148">
        <f t="shared" si="71"/>
        <v>1595</v>
      </c>
      <c r="GW20" s="148">
        <f t="shared" si="71"/>
        <v>0</v>
      </c>
      <c r="GX20" s="148">
        <f t="shared" si="71"/>
        <v>1595</v>
      </c>
      <c r="GY20" s="148">
        <f t="shared" si="71"/>
        <v>0</v>
      </c>
      <c r="GZ20" s="148" t="e">
        <f t="shared" si="71"/>
        <v>#REF!</v>
      </c>
      <c r="HA20" s="148">
        <f t="shared" si="71"/>
        <v>817919.94</v>
      </c>
      <c r="HB20" s="148" t="e">
        <f t="shared" si="71"/>
        <v>#REF!</v>
      </c>
      <c r="HC20" s="148">
        <f t="shared" si="71"/>
        <v>945</v>
      </c>
      <c r="HD20" s="148">
        <f>SUM(HD7:HD19)</f>
        <v>1219.867</v>
      </c>
      <c r="HE20" s="148">
        <f>HD20-HC20</f>
        <v>274.86699999999996</v>
      </c>
      <c r="HF20" s="188">
        <f>HD20/HC20*100</f>
        <v>129.086455026455</v>
      </c>
      <c r="HG20" s="183">
        <f>HG7</f>
        <v>16.857</v>
      </c>
      <c r="HH20" s="148">
        <f>SUM(HH7:HH19)</f>
        <v>16.247</v>
      </c>
      <c r="HI20" s="149">
        <f>SUM(HI7:HI19)</f>
        <v>27.201</v>
      </c>
      <c r="HJ20" s="145">
        <f>HI20-HH20</f>
        <v>10.954</v>
      </c>
      <c r="HK20" s="193">
        <f>HI20/HH20*100</f>
        <v>167.42167784821814</v>
      </c>
      <c r="HL20" s="183">
        <f>SUM(HL7:HL19)</f>
        <v>18</v>
      </c>
      <c r="HM20" s="183">
        <f>SUM(HM7:HM19)</f>
        <v>18</v>
      </c>
      <c r="HN20" s="145">
        <f>SUM(HN7:HN19)</f>
        <v>31.898</v>
      </c>
      <c r="HO20" s="192">
        <f>HN20-HM20</f>
        <v>13.898</v>
      </c>
      <c r="HP20" s="180">
        <f>HN20/HM20*100</f>
        <v>177.2111111111111</v>
      </c>
      <c r="HQ20" s="150">
        <f>HQ7+HQ8+HQ10+HQ11+HQ12+HQ13+HQ14+HQ15+HQ16+HQ17+HQ18+HQ19</f>
        <v>116.137</v>
      </c>
      <c r="HR20" s="145">
        <f>HR7+HR8+HR10+HR11+HR12+HR13+HR14+HR15+HR16+HR17+HR18+HR19</f>
        <v>975</v>
      </c>
      <c r="HS20" s="150">
        <f>HS7+HS8+HS10+HS11+HS12+HS13+HS14+HS15+HS16+HS17+HS18+HS19</f>
        <v>1382.898</v>
      </c>
      <c r="HT20" s="183">
        <f>HT7+HT8+HT10+HT11+HT12+HT13+HT14+HT15+HT16+HT17+HT18+HT19</f>
        <v>407.8979999999999</v>
      </c>
      <c r="HU20" s="191">
        <f>HS20/HR20*100</f>
        <v>141.8356923076923</v>
      </c>
      <c r="HV20" s="183">
        <f>HV7</f>
        <v>0</v>
      </c>
      <c r="HW20" s="183">
        <f>HW7</f>
        <v>45.596</v>
      </c>
      <c r="HX20" s="183">
        <f>HX7</f>
        <v>77.038</v>
      </c>
      <c r="HY20" s="145">
        <f>HY7+HY8+HY9+HY10+HY11+HY12+HY13+HY14+HY15+HY16</f>
        <v>109907.99999999997</v>
      </c>
      <c r="HZ20" s="145">
        <f>HZ7+HZ8+HZ9+HZ10+HZ11+HZ12+HZ13+HZ14+HZ15+HZ16</f>
        <v>114698.87299999999</v>
      </c>
      <c r="IA20" s="145">
        <f>SUM(IA7:IA19)</f>
        <v>118235.10199999998</v>
      </c>
      <c r="IB20" s="150">
        <f>IA20-HZ20</f>
        <v>3536.228999999992</v>
      </c>
      <c r="IC20" s="180">
        <f>IA20/HZ20*100</f>
        <v>103.0830547044695</v>
      </c>
      <c r="ID20" s="180">
        <f t="shared" si="57"/>
        <v>3.083054704469504</v>
      </c>
      <c r="IE20" s="180">
        <f>IA20/HY20*100</f>
        <v>107.57642937729739</v>
      </c>
      <c r="IF20" s="180">
        <v>100</v>
      </c>
      <c r="IG20" s="183">
        <f>SUM(IG7:IG19)</f>
        <v>103417.471</v>
      </c>
      <c r="IH20" s="183">
        <f>SUM(IH7:IH19)</f>
        <v>14817.630999999974</v>
      </c>
      <c r="II20" s="180">
        <f t="shared" si="60"/>
        <v>14.327976556301579</v>
      </c>
    </row>
    <row r="21" spans="2:238" ht="12.75">
      <c r="B21" s="41"/>
      <c r="C21" s="125">
        <v>64179.673</v>
      </c>
      <c r="D21" s="41"/>
      <c r="E21" s="41"/>
      <c r="F21" s="41"/>
      <c r="G21" s="41"/>
      <c r="H21" s="41"/>
      <c r="I21" s="41"/>
      <c r="AJ21" s="12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90"/>
      <c r="BO21" s="30"/>
      <c r="BP21" s="30"/>
      <c r="BQ21" s="30"/>
      <c r="BR21" s="30"/>
      <c r="BS21" s="30"/>
      <c r="BT21" s="30"/>
      <c r="BU21" s="30"/>
      <c r="BV21" s="9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105"/>
      <c r="CM21" s="30"/>
      <c r="CN21" s="30"/>
      <c r="CO21" s="30"/>
      <c r="CP21" s="30"/>
      <c r="CQ21" s="30"/>
      <c r="CR21" s="30"/>
      <c r="CS21" s="30"/>
      <c r="CT21" s="105"/>
      <c r="CU21" s="30"/>
      <c r="CV21" s="30"/>
      <c r="CW21" s="93"/>
      <c r="CX21" s="30"/>
      <c r="CY21" s="30"/>
      <c r="CZ21" s="30"/>
      <c r="DA21" s="30"/>
      <c r="DB21" s="9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105"/>
      <c r="DW21" s="30"/>
      <c r="DX21" s="30"/>
      <c r="DY21" s="30"/>
      <c r="DZ21" s="30"/>
      <c r="EA21" s="30"/>
      <c r="EB21" s="30"/>
      <c r="EC21" s="30"/>
      <c r="ED21" s="30"/>
      <c r="EE21" s="90"/>
      <c r="EF21" s="37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105"/>
      <c r="EV21" s="30"/>
      <c r="EW21" s="30"/>
      <c r="EX21" s="30"/>
      <c r="EY21" s="30"/>
      <c r="EZ21" s="91"/>
      <c r="FA21" s="30"/>
      <c r="FB21" s="30"/>
      <c r="FC21" s="30"/>
      <c r="FD21" s="30"/>
      <c r="FE21" s="30"/>
      <c r="FF21" s="30"/>
      <c r="FG21" s="91"/>
      <c r="FH21" s="30"/>
      <c r="FI21" s="30"/>
      <c r="FJ21" s="30"/>
      <c r="FK21" s="9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90"/>
      <c r="HD21" s="9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90"/>
      <c r="IA21" s="30"/>
      <c r="IB21" s="30"/>
      <c r="IC21" s="30"/>
      <c r="ID21" s="30"/>
    </row>
    <row r="22" spans="36:243" ht="12.75">
      <c r="AJ22">
        <f>AJ23/AI20%</f>
        <v>119.51083935519735</v>
      </c>
      <c r="AN22" s="31"/>
      <c r="AO22" s="41"/>
      <c r="AX22">
        <v>43.453</v>
      </c>
      <c r="BF22" s="41">
        <v>127</v>
      </c>
      <c r="BG22" s="41">
        <v>5.804</v>
      </c>
      <c r="BN22">
        <v>2700</v>
      </c>
      <c r="BV22" s="90">
        <v>2295</v>
      </c>
      <c r="BZ22" s="41">
        <f>BZ7+BZ8+BZ9+BZ10+BZ11+BZ12+BZ13+BZ14+BZ15+BZ16</f>
        <v>17826</v>
      </c>
      <c r="CA22" s="41"/>
      <c r="CB22" s="41"/>
      <c r="CC22" s="41"/>
      <c r="CD22" s="41"/>
      <c r="CE22" s="41"/>
      <c r="CF22" s="41"/>
      <c r="CG22" s="41"/>
      <c r="CH22">
        <f>CH7+CH8+CH9+CH10+CH11+CH12+CH13+CH14+CH15+CH16</f>
        <v>1068.9999999999998</v>
      </c>
      <c r="CL22" s="41">
        <v>1475</v>
      </c>
      <c r="CT22">
        <v>6680</v>
      </c>
      <c r="DB22">
        <v>8525</v>
      </c>
      <c r="DV22">
        <v>2656.5</v>
      </c>
      <c r="EE22" s="41"/>
      <c r="EF22" s="41"/>
      <c r="EG22" s="41">
        <f>EV20+FA20+FH20</f>
        <v>16731.528</v>
      </c>
      <c r="EH22" s="41"/>
      <c r="EU22">
        <v>1255</v>
      </c>
      <c r="EZ22">
        <v>8900</v>
      </c>
      <c r="FG22" s="125">
        <v>6790</v>
      </c>
      <c r="FL22">
        <v>2.127659</v>
      </c>
      <c r="HC22">
        <v>16.12655</v>
      </c>
      <c r="HH22">
        <v>29.67598</v>
      </c>
      <c r="HM22">
        <v>22.29508</v>
      </c>
      <c r="HU22" s="211" t="s">
        <v>58</v>
      </c>
      <c r="HV22" s="211"/>
      <c r="HW22" s="141"/>
      <c r="HX22" s="141"/>
      <c r="HY22" s="41">
        <f>HY8+HY9+HY10+HY11+HY12+HY13+HY14+HY15+HY16</f>
        <v>33773.088</v>
      </c>
      <c r="HZ22" s="41">
        <f>HZ8+HZ9+HZ10+HZ11+HZ12+HZ13+HZ14+HZ15+HZ16</f>
        <v>34785.99201735117</v>
      </c>
      <c r="IA22" s="41">
        <f>IA8+IA9+IA10+IA11+IA12+IA13+IA14+IA15+IA16</f>
        <v>35560.925</v>
      </c>
      <c r="IB22" s="41">
        <f>IA22-HZ22</f>
        <v>774.932982648832</v>
      </c>
      <c r="IC22" s="137">
        <f>IA22/HZ22*100</f>
        <v>102.22771563410437</v>
      </c>
      <c r="ID22" s="137">
        <f>IA22/HZ22*100-100</f>
        <v>2.2277156341043707</v>
      </c>
      <c r="IE22" s="137">
        <f>HZ22/HY22*100</f>
        <v>102.99914540639922</v>
      </c>
      <c r="IG22">
        <f>IG20-IG7</f>
        <v>34172.819</v>
      </c>
      <c r="IH22" s="125">
        <f>IA22-IG22</f>
        <v>1388.1059999999998</v>
      </c>
      <c r="II22" s="137">
        <f>IA22/IG22*100-100</f>
        <v>4.062017827677607</v>
      </c>
    </row>
    <row r="23" spans="3:236" ht="12.75">
      <c r="C23">
        <f>C21/B20%</f>
        <v>100.18195652268248</v>
      </c>
      <c r="AJ23">
        <v>2365</v>
      </c>
      <c r="AX23">
        <f>AX22/AU20%</f>
        <v>99.8896577090182</v>
      </c>
      <c r="BF23">
        <f>BF22/BB20%</f>
        <v>100</v>
      </c>
      <c r="BG23">
        <f>BG22/BB20%</f>
        <v>4.570078740157481</v>
      </c>
      <c r="BN23">
        <f>BN22/BJ20%</f>
        <v>94.4055944055944</v>
      </c>
      <c r="BV23">
        <f>BV22/BR20%</f>
        <v>182.14285714285717</v>
      </c>
      <c r="CL23">
        <f>CL22/CH20%</f>
        <v>137.9794200187091</v>
      </c>
      <c r="CT23">
        <f>CT22/CP20%</f>
        <v>110.0494233937397</v>
      </c>
      <c r="DB23">
        <f>DB22/CX20%</f>
        <v>101.12692763938315</v>
      </c>
      <c r="DV23">
        <f>DV22/DF20%</f>
        <v>117.70048737261853</v>
      </c>
      <c r="EU23">
        <f>EU22/EM20%</f>
        <v>83.66666666666667</v>
      </c>
      <c r="EZ23">
        <f>EZ22/EY20%</f>
        <v>110.55900621118015</v>
      </c>
      <c r="FG23">
        <f>FG22/FD20%</f>
        <v>98.40579710144928</v>
      </c>
      <c r="HZ23" s="41"/>
      <c r="IA23" s="13"/>
      <c r="IB23" s="13"/>
    </row>
    <row r="24" spans="42:235" ht="12.75">
      <c r="AP24" s="41"/>
      <c r="IA24" s="41">
        <v>76303.206</v>
      </c>
    </row>
    <row r="25" spans="234:235" ht="12.75">
      <c r="HZ25">
        <v>43465.737</v>
      </c>
      <c r="IA25" s="41">
        <f>IA24-IA20</f>
        <v>-41931.89599999998</v>
      </c>
    </row>
    <row r="26" ht="12.75">
      <c r="CL26" s="41">
        <f>CH20+CP20+CX20+DF20</f>
        <v>17826</v>
      </c>
    </row>
    <row r="27" spans="234:235" ht="12.75">
      <c r="HZ27" s="41">
        <f>HZ25-HZ20</f>
        <v>-71233.136</v>
      </c>
      <c r="IA27" s="41">
        <v>103417.471</v>
      </c>
    </row>
    <row r="29" ht="12.75">
      <c r="IA29" s="41">
        <f>IA20-IA27</f>
        <v>14817.63099999998</v>
      </c>
    </row>
  </sheetData>
  <sheetProtection/>
  <mergeCells count="28">
    <mergeCell ref="HY5:II5"/>
    <mergeCell ref="HU22:HV22"/>
    <mergeCell ref="EY5:FC5"/>
    <mergeCell ref="FP5:HF5"/>
    <mergeCell ref="CP5:CW5"/>
    <mergeCell ref="HL5:HP5"/>
    <mergeCell ref="FD5:FJ5"/>
    <mergeCell ref="HQ5:HU5"/>
    <mergeCell ref="HG5:HK5"/>
    <mergeCell ref="EE5:EK5"/>
    <mergeCell ref="FK5:FO5"/>
    <mergeCell ref="DF5:DY5"/>
    <mergeCell ref="CH5:CO5"/>
    <mergeCell ref="DZ5:ED5"/>
    <mergeCell ref="BB5:BI5"/>
    <mergeCell ref="CX5:DE5"/>
    <mergeCell ref="BR5:BY5"/>
    <mergeCell ref="EM5:EX5"/>
    <mergeCell ref="BZ5:CG5"/>
    <mergeCell ref="BJ5:BQ5"/>
    <mergeCell ref="Y5:AC5"/>
    <mergeCell ref="AD5:AH5"/>
    <mergeCell ref="J5:O5"/>
    <mergeCell ref="B5:H5"/>
    <mergeCell ref="AI5:AM5"/>
    <mergeCell ref="AU5:BA5"/>
    <mergeCell ref="AN5:AR5"/>
    <mergeCell ref="R5:X5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4" r:id="rId1"/>
  <colBreaks count="9" manualBreakCount="9">
    <brk id="18" max="19" man="1"/>
    <brk id="34" max="19" man="1"/>
    <brk id="53" max="19" man="1"/>
    <brk id="77" max="19" man="1"/>
    <brk id="98" max="19" man="1"/>
    <brk id="135" max="19" man="1"/>
    <brk id="155" max="19" man="1"/>
    <brk id="212" max="19" man="1"/>
    <brk id="23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2022-02-14T16:00:05Z</cp:lastPrinted>
  <dcterms:created xsi:type="dcterms:W3CDTF">2017-02-16T07:47:27Z</dcterms:created>
  <dcterms:modified xsi:type="dcterms:W3CDTF">2022-02-14T16:04:06Z</dcterms:modified>
  <cp:category/>
  <cp:version/>
  <cp:contentType/>
  <cp:contentStatus/>
</cp:coreProperties>
</file>