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'січень'!$A$1:$GP$21</definedName>
  </definedNames>
  <calcPr fullCalcOnLoad="1"/>
</workbook>
</file>

<file path=xl/sharedStrings.xml><?xml version="1.0" encoding="utf-8"?>
<sst xmlns="http://schemas.openxmlformats.org/spreadsheetml/2006/main" count="247" uniqueCount="65">
  <si>
    <t>Назва бюджету</t>
  </si>
  <si>
    <t>% викон.</t>
  </si>
  <si>
    <t>Всього:</t>
  </si>
  <si>
    <t>відхилення</t>
  </si>
  <si>
    <t xml:space="preserve"> 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</si>
  <si>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</si>
  <si>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</si>
  <si>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</si>
  <si>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</si>
  <si>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</si>
  <si>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</si>
  <si>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</si>
  <si>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</si>
  <si>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</si>
  <si>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</si>
  <si>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</si>
  <si>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</si>
  <si>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11010500 ПДФО одноосібники</t>
  </si>
  <si>
    <t xml:space="preserve">14040000 Акцизний податок </t>
  </si>
  <si>
    <t xml:space="preserve"> 11010100 ПДФО із з/п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</si>
  <si>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</si>
  <si>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</si>
  <si>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</si>
  <si>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</si>
  <si>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</si>
  <si>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</si>
  <si>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</si>
  <si>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</si>
  <si>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</si>
  <si>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</si>
  <si>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</si>
  <si>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</si>
  <si>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</si>
  <si>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11010200 Податок на прибуток</t>
  </si>
  <si>
    <t>14021900 Акцизний податок (пальне виробл. в Україні)</t>
  </si>
  <si>
    <t>14031900 Акцизний податок (пальне ввезене в Україну)</t>
  </si>
  <si>
    <t>18011000 - 18011100   Транспортний податок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</si>
  <si>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</si>
  <si>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</si>
  <si>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</si>
  <si>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</si>
  <si>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</si>
  <si>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</si>
  <si>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</si>
  <si>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</si>
  <si>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</si>
  <si>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</si>
  <si>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</si>
  <si>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</si>
  <si>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</si>
  <si>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11010400 ПДФО за паї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</si>
  <si>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</si>
  <si>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</si>
  <si>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</si>
  <si>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</si>
  <si>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</si>
  <si>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</si>
  <si>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вересень 2020</t>
  </si>
  <si>
    <t>січень грудень       2019</t>
  </si>
  <si>
    <t>січень 2021</t>
  </si>
  <si>
    <t>січень березень2021</t>
  </si>
  <si>
    <t>січень березень 2020</t>
  </si>
  <si>
    <t>Порівняльна таблиця надходжень за січень - березень 2021 року</t>
  </si>
  <si>
    <t>до фактичних надходжень січня- березня 2020 року.</t>
  </si>
  <si>
    <t>Таблиця 1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</si>
</sst>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183" fontId="0" fillId="0" borderId="10" xfId="0" applyNumberFormat="1" applyBorder="1" applyAlignment="1">
      <alignment horizontal="center"/>
    </xf>
    <xf numFmtId="18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7" xfId="0" applyNumberFormat="1" applyBorder="1" applyAlignment="1">
      <alignment/>
    </xf>
    <xf numFmtId="183" fontId="0" fillId="0" borderId="18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9" xfId="0" applyNumberFormat="1" applyBorder="1" applyAlignment="1">
      <alignment/>
    </xf>
    <xf numFmtId="183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183" fontId="0" fillId="0" borderId="12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18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83" fontId="0" fillId="0" borderId="19" xfId="0" applyNumberFormat="1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Alignment="1">
      <alignment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183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82" fontId="0" fillId="0" borderId="24" xfId="0" applyNumberFormat="1" applyBorder="1" applyAlignment="1">
      <alignment horizontal="center"/>
    </xf>
    <xf numFmtId="182" fontId="0" fillId="0" borderId="0" xfId="0" applyNumberFormat="1" applyAlignment="1">
      <alignment/>
    </xf>
    <xf numFmtId="183" fontId="0" fillId="0" borderId="17" xfId="0" applyNumberFormat="1" applyBorder="1" applyAlignment="1">
      <alignment horizontal="center"/>
    </xf>
    <xf numFmtId="0" fontId="0" fillId="0" borderId="22" xfId="0" applyBorder="1" applyAlignment="1">
      <alignment/>
    </xf>
    <xf numFmtId="0" fontId="1" fillId="0" borderId="25" xfId="0" applyFont="1" applyBorder="1" applyAlignment="1">
      <alignment horizontal="center" vertical="top" wrapText="1"/>
    </xf>
    <xf numFmtId="182" fontId="0" fillId="0" borderId="22" xfId="0" applyNumberFormat="1" applyBorder="1" applyAlignment="1">
      <alignment/>
    </xf>
    <xf numFmtId="183" fontId="0" fillId="0" borderId="13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27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183" fontId="0" fillId="0" borderId="29" xfId="0" applyNumberFormat="1" applyFont="1" applyBorder="1" applyAlignment="1">
      <alignment/>
    </xf>
    <xf numFmtId="182" fontId="0" fillId="0" borderId="28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183" fontId="0" fillId="0" borderId="19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182" fontId="0" fillId="0" borderId="11" xfId="0" applyNumberFormat="1" applyBorder="1" applyAlignment="1">
      <alignment horizontal="center"/>
    </xf>
    <xf numFmtId="182" fontId="0" fillId="0" borderId="0" xfId="0" applyNumberFormat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2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183" fontId="0" fillId="0" borderId="30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82" fontId="0" fillId="0" borderId="2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83" fontId="0" fillId="0" borderId="11" xfId="0" applyNumberFormat="1" applyFont="1" applyBorder="1" applyAlignment="1">
      <alignment horizontal="center"/>
    </xf>
    <xf numFmtId="18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83" fontId="0" fillId="0" borderId="13" xfId="0" applyNumberFormat="1" applyFont="1" applyBorder="1" applyAlignment="1">
      <alignment/>
    </xf>
    <xf numFmtId="182" fontId="0" fillId="33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183" fontId="0" fillId="0" borderId="33" xfId="0" applyNumberFormat="1" applyBorder="1" applyAlignment="1">
      <alignment/>
    </xf>
    <xf numFmtId="183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183" fontId="0" fillId="0" borderId="33" xfId="0" applyNumberFormat="1" applyBorder="1" applyAlignment="1">
      <alignment horizontal="center"/>
    </xf>
    <xf numFmtId="183" fontId="0" fillId="0" borderId="36" xfId="0" applyNumberFormat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82" fontId="0" fillId="0" borderId="19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82" fontId="0" fillId="0" borderId="14" xfId="0" applyNumberFormat="1" applyFont="1" applyBorder="1" applyAlignment="1">
      <alignment horizontal="center"/>
    </xf>
    <xf numFmtId="182" fontId="0" fillId="0" borderId="23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1" fillId="34" borderId="39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182" fontId="0" fillId="33" borderId="0" xfId="0" applyNumberFormat="1" applyFill="1" applyAlignment="1">
      <alignment/>
    </xf>
    <xf numFmtId="182" fontId="0" fillId="0" borderId="40" xfId="0" applyNumberFormat="1" applyBorder="1" applyAlignment="1">
      <alignment horizontal="center"/>
    </xf>
    <xf numFmtId="182" fontId="4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/>
    </xf>
    <xf numFmtId="182" fontId="0" fillId="0" borderId="4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81" fontId="0" fillId="0" borderId="12" xfId="0" applyNumberFormat="1" applyBorder="1" applyAlignment="1">
      <alignment/>
    </xf>
    <xf numFmtId="183" fontId="0" fillId="33" borderId="0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82" fontId="0" fillId="0" borderId="2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182" fontId="0" fillId="0" borderId="42" xfId="0" applyNumberFormat="1" applyFont="1" applyBorder="1" applyAlignment="1">
      <alignment horizontal="center"/>
    </xf>
    <xf numFmtId="183" fontId="0" fillId="0" borderId="10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83" fontId="0" fillId="0" borderId="40" xfId="0" applyNumberFormat="1" applyBorder="1" applyAlignment="1">
      <alignment horizontal="center"/>
    </xf>
    <xf numFmtId="0" fontId="2" fillId="0" borderId="37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183" fontId="0" fillId="0" borderId="19" xfId="0" applyNumberFormat="1" applyFont="1" applyBorder="1" applyAlignment="1">
      <alignment horizontal="center"/>
    </xf>
    <xf numFmtId="183" fontId="0" fillId="0" borderId="14" xfId="0" applyNumberFormat="1" applyFont="1" applyBorder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3" fontId="0" fillId="0" borderId="20" xfId="0" applyNumberFormat="1" applyFont="1" applyBorder="1" applyAlignment="1">
      <alignment horizontal="center"/>
    </xf>
    <xf numFmtId="182" fontId="0" fillId="0" borderId="10" xfId="0" applyNumberFormat="1" applyBorder="1" applyAlignment="1">
      <alignment horizontal="center" vertical="center"/>
    </xf>
    <xf numFmtId="0" fontId="1" fillId="36" borderId="31" xfId="0" applyFont="1" applyFill="1" applyBorder="1" applyAlignment="1">
      <alignment/>
    </xf>
    <xf numFmtId="182" fontId="1" fillId="36" borderId="37" xfId="0" applyNumberFormat="1" applyFont="1" applyFill="1" applyBorder="1" applyAlignment="1">
      <alignment horizontal="center"/>
    </xf>
    <xf numFmtId="182" fontId="1" fillId="36" borderId="45" xfId="0" applyNumberFormat="1" applyFont="1" applyFill="1" applyBorder="1" applyAlignment="1">
      <alignment horizontal="center"/>
    </xf>
    <xf numFmtId="182" fontId="1" fillId="36" borderId="25" xfId="0" applyNumberFormat="1" applyFont="1" applyFill="1" applyBorder="1" applyAlignment="1">
      <alignment horizontal="center"/>
    </xf>
    <xf numFmtId="183" fontId="1" fillId="36" borderId="46" xfId="0" applyNumberFormat="1" applyFont="1" applyFill="1" applyBorder="1" applyAlignment="1">
      <alignment horizontal="center"/>
    </xf>
    <xf numFmtId="182" fontId="1" fillId="36" borderId="21" xfId="0" applyNumberFormat="1" applyFont="1" applyFill="1" applyBorder="1" applyAlignment="1">
      <alignment horizontal="center"/>
    </xf>
    <xf numFmtId="183" fontId="1" fillId="36" borderId="21" xfId="0" applyNumberFormat="1" applyFont="1" applyFill="1" applyBorder="1" applyAlignment="1">
      <alignment horizontal="center"/>
    </xf>
    <xf numFmtId="182" fontId="1" fillId="36" borderId="39" xfId="0" applyNumberFormat="1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183" fontId="1" fillId="36" borderId="39" xfId="0" applyNumberFormat="1" applyFont="1" applyFill="1" applyBorder="1" applyAlignment="1">
      <alignment horizontal="center"/>
    </xf>
    <xf numFmtId="182" fontId="1" fillId="36" borderId="35" xfId="0" applyNumberFormat="1" applyFont="1" applyFill="1" applyBorder="1" applyAlignment="1">
      <alignment horizontal="center"/>
    </xf>
    <xf numFmtId="183" fontId="1" fillId="36" borderId="45" xfId="0" applyNumberFormat="1" applyFont="1" applyFill="1" applyBorder="1" applyAlignment="1">
      <alignment horizontal="center"/>
    </xf>
    <xf numFmtId="182" fontId="1" fillId="36" borderId="46" xfId="0" applyNumberFormat="1" applyFont="1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183" fontId="1" fillId="36" borderId="26" xfId="0" applyNumberFormat="1" applyFont="1" applyFill="1" applyBorder="1" applyAlignment="1">
      <alignment horizontal="center"/>
    </xf>
    <xf numFmtId="183" fontId="1" fillId="36" borderId="37" xfId="0" applyNumberFormat="1" applyFont="1" applyFill="1" applyBorder="1" applyAlignment="1">
      <alignment horizontal="center"/>
    </xf>
    <xf numFmtId="181" fontId="1" fillId="36" borderId="37" xfId="0" applyNumberFormat="1" applyFont="1" applyFill="1" applyBorder="1" applyAlignment="1">
      <alignment horizontal="center"/>
    </xf>
    <xf numFmtId="183" fontId="1" fillId="36" borderId="35" xfId="0" applyNumberFormat="1" applyFont="1" applyFill="1" applyBorder="1" applyAlignment="1">
      <alignment horizontal="center"/>
    </xf>
    <xf numFmtId="182" fontId="1" fillId="36" borderId="31" xfId="0" applyNumberFormat="1" applyFont="1" applyFill="1" applyBorder="1" applyAlignment="1">
      <alignment horizontal="center"/>
    </xf>
    <xf numFmtId="2" fontId="1" fillId="36" borderId="31" xfId="0" applyNumberFormat="1" applyFont="1" applyFill="1" applyBorder="1" applyAlignment="1">
      <alignment horizontal="center"/>
    </xf>
    <xf numFmtId="182" fontId="1" fillId="36" borderId="26" xfId="0" applyNumberFormat="1" applyFont="1" applyFill="1" applyBorder="1" applyAlignment="1">
      <alignment horizontal="center"/>
    </xf>
    <xf numFmtId="2" fontId="1" fillId="36" borderId="37" xfId="0" applyNumberFormat="1" applyFont="1" applyFill="1" applyBorder="1" applyAlignment="1">
      <alignment horizontal="center"/>
    </xf>
    <xf numFmtId="182" fontId="0" fillId="0" borderId="18" xfId="0" applyNumberFormat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182" fontId="0" fillId="33" borderId="41" xfId="0" applyNumberFormat="1" applyFont="1" applyFill="1" applyBorder="1" applyAlignment="1">
      <alignment horizontal="center"/>
    </xf>
    <xf numFmtId="182" fontId="0" fillId="33" borderId="16" xfId="0" applyNumberFormat="1" applyFill="1" applyBorder="1" applyAlignment="1">
      <alignment horizontal="center"/>
    </xf>
    <xf numFmtId="182" fontId="0" fillId="33" borderId="24" xfId="0" applyNumberForma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182" fontId="0" fillId="33" borderId="10" xfId="0" applyNumberFormat="1" applyFill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182" fontId="0" fillId="33" borderId="22" xfId="0" applyNumberFormat="1" applyFill="1" applyBorder="1" applyAlignment="1">
      <alignment horizontal="center"/>
    </xf>
    <xf numFmtId="182" fontId="0" fillId="33" borderId="22" xfId="0" applyNumberFormat="1" applyFont="1" applyFill="1" applyBorder="1" applyAlignment="1">
      <alignment horizontal="center"/>
    </xf>
    <xf numFmtId="183" fontId="0" fillId="33" borderId="22" xfId="0" applyNumberFormat="1" applyFill="1" applyBorder="1" applyAlignment="1">
      <alignment horizontal="center"/>
    </xf>
    <xf numFmtId="182" fontId="0" fillId="33" borderId="22" xfId="0" applyNumberFormat="1" applyFill="1" applyBorder="1" applyAlignment="1">
      <alignment horizontal="center" vertical="center"/>
    </xf>
    <xf numFmtId="182" fontId="0" fillId="33" borderId="28" xfId="0" applyNumberFormat="1" applyFont="1" applyFill="1" applyBorder="1" applyAlignment="1">
      <alignment horizontal="center"/>
    </xf>
    <xf numFmtId="182" fontId="1" fillId="33" borderId="0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6" borderId="46" xfId="0" applyFont="1" applyFill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5" borderId="49" xfId="0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35" borderId="4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5" borderId="54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35" borderId="5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27"/>
  <sheetViews>
    <sheetView tabSelected="1" view="pageBreakPreview" zoomScale="106" zoomScaleSheetLayoutView="106" zoomScalePageLayoutView="0" workbookViewId="0" topLeftCell="A4">
      <pane xSplit="1" topLeftCell="AG1" activePane="topRight" state="frozen"/>
      <selection pane="topLeft" activeCell="A1" sqref="A1"/>
      <selection pane="topRight" activeCell="GM12" sqref="GM12"/>
    </sheetView>
  </sheetViews>
  <sheetFormatPr defaultColWidth="9.75390625" defaultRowHeight="12.75"/>
  <cols>
    <col min="1" max="1" width="23.625" style="0" customWidth="1"/>
    <col min="2" max="2" width="10.125" style="0" customWidth="1"/>
    <col min="3" max="3" width="10.25390625" style="0" customWidth="1"/>
    <col min="4" max="4" width="9.875" style="0" customWidth="1"/>
    <col min="5" max="5" width="7.625" style="0" customWidth="1"/>
    <col min="6" max="6" width="10.125" style="0" customWidth="1"/>
    <col min="7" max="7" width="10.75390625" style="0" customWidth="1"/>
    <col min="8" max="8" width="10.25390625" style="0" customWidth="1"/>
    <col min="9" max="9" width="7.75390625" style="0" customWidth="1"/>
    <col min="10" max="10" width="10.375" style="0" customWidth="1"/>
    <col min="11" max="11" width="10.125" style="0" customWidth="1"/>
    <col min="12" max="12" width="9.625" style="0" customWidth="1"/>
    <col min="13" max="13" width="7.25390625" style="0" customWidth="1"/>
    <col min="14" max="14" width="10.00390625" style="0" customWidth="1"/>
    <col min="15" max="15" width="10.875" style="0" customWidth="1"/>
    <col min="16" max="16" width="10.253906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0.37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6" width="9.125" style="0" customWidth="1"/>
    <col min="27" max="27" width="8.87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2" width="10.875" style="0" customWidth="1"/>
    <col min="33" max="33" width="10.375" style="0" customWidth="1"/>
    <col min="34" max="34" width="10.625" style="0" customWidth="1"/>
    <col min="35" max="36" width="10.375" style="0" customWidth="1"/>
    <col min="37" max="37" width="11.75390625" style="0" customWidth="1"/>
    <col min="38" max="38" width="10.25390625" style="0" customWidth="1"/>
    <col min="39" max="39" width="10.875" style="0" customWidth="1"/>
    <col min="40" max="40" width="9.125" style="0" customWidth="1"/>
    <col min="41" max="41" width="9.875" style="0" customWidth="1"/>
    <col min="42" max="42" width="10.25390625" style="0" customWidth="1"/>
    <col min="43" max="43" width="11.375" style="0" customWidth="1"/>
    <col min="44" max="44" width="8.75390625" style="0" customWidth="1"/>
    <col min="45" max="45" width="8.25390625" style="0" customWidth="1"/>
    <col min="46" max="46" width="10.375" style="0" customWidth="1"/>
    <col min="47" max="47" width="14.25390625" style="0" hidden="1" customWidth="1"/>
    <col min="48" max="48" width="11.375" style="0" hidden="1" customWidth="1"/>
    <col min="49" max="49" width="0.12890625" style="0" hidden="1" customWidth="1"/>
    <col min="50" max="50" width="35.375" style="0" hidden="1" customWidth="1"/>
    <col min="51" max="51" width="12.25390625" style="0" hidden="1" customWidth="1"/>
    <col min="52" max="52" width="11.875" style="0" hidden="1" customWidth="1"/>
    <col min="53" max="53" width="9.125" style="0" hidden="1" customWidth="1"/>
    <col min="54" max="54" width="10.375" style="0" customWidth="1"/>
    <col min="55" max="55" width="10.125" style="0" customWidth="1"/>
    <col min="56" max="56" width="8.00390625" style="0" customWidth="1"/>
    <col min="57" max="57" width="10.625" style="0" customWidth="1"/>
    <col min="58" max="58" width="10.375" style="0" customWidth="1"/>
    <col min="59" max="59" width="9.875" style="0" customWidth="1"/>
    <col min="60" max="60" width="6.875" style="0" customWidth="1"/>
    <col min="61" max="61" width="10.25390625" style="0" customWidth="1"/>
    <col min="62" max="62" width="11.625" style="0" customWidth="1"/>
    <col min="63" max="63" width="8.625" style="0" customWidth="1"/>
    <col min="64" max="64" width="9.25390625" style="0" customWidth="1"/>
    <col min="65" max="65" width="10.75390625" style="0" customWidth="1"/>
    <col min="66" max="66" width="14.375" style="0" hidden="1" customWidth="1"/>
    <col min="67" max="67" width="19.625" style="0" hidden="1" customWidth="1"/>
    <col min="68" max="68" width="9.125" style="0" hidden="1" customWidth="1"/>
    <col min="69" max="69" width="11.25390625" style="0" customWidth="1"/>
    <col min="70" max="70" width="8.25390625" style="0" customWidth="1"/>
    <col min="71" max="71" width="8.875" style="0" customWidth="1"/>
    <col min="72" max="72" width="10.875" style="0" customWidth="1"/>
    <col min="73" max="73" width="13.125" style="0" hidden="1" customWidth="1"/>
    <col min="74" max="75" width="14.875" style="0" hidden="1" customWidth="1"/>
    <col min="76" max="76" width="12.25390625" style="0" customWidth="1"/>
    <col min="77" max="77" width="8.125" style="0" customWidth="1"/>
    <col min="78" max="78" width="14.875" style="0" hidden="1" customWidth="1"/>
    <col min="79" max="79" width="9.25390625" style="0" customWidth="1"/>
    <col min="80" max="80" width="10.625" style="0" customWidth="1"/>
    <col min="81" max="81" width="13.625" style="0" hidden="1" customWidth="1"/>
    <col min="82" max="82" width="12.75390625" style="0" hidden="1" customWidth="1"/>
    <col min="83" max="83" width="9.125" style="0" hidden="1" customWidth="1"/>
    <col min="84" max="84" width="12.75390625" style="0" customWidth="1"/>
    <col min="85" max="85" width="10.75390625" style="0" customWidth="1"/>
    <col min="86" max="86" width="10.125" style="0" customWidth="1"/>
    <col min="87" max="87" width="10.875" style="0" customWidth="1"/>
    <col min="88" max="88" width="13.00390625" style="0" hidden="1" customWidth="1"/>
    <col min="89" max="89" width="14.75390625" style="0" hidden="1" customWidth="1"/>
    <col min="90" max="90" width="9.125" style="0" hidden="1" customWidth="1"/>
    <col min="91" max="91" width="11.75390625" style="0" customWidth="1"/>
    <col min="92" max="92" width="8.625" style="0" customWidth="1"/>
    <col min="93" max="93" width="7.875" style="0" customWidth="1"/>
    <col min="94" max="95" width="10.375" style="0" customWidth="1"/>
    <col min="96" max="96" width="8.875" style="0" customWidth="1"/>
    <col min="97" max="97" width="8.00390625" style="0" customWidth="1"/>
    <col min="98" max="98" width="10.25390625" style="0" customWidth="1"/>
    <col min="99" max="99" width="13.25390625" style="0" hidden="1" customWidth="1"/>
    <col min="100" max="100" width="13.375" style="0" hidden="1" customWidth="1"/>
    <col min="101" max="101" width="9.125" style="0" hidden="1" customWidth="1"/>
    <col min="102" max="102" width="12.875" style="0" customWidth="1"/>
    <col min="103" max="103" width="10.75390625" style="0" customWidth="1"/>
    <col min="104" max="104" width="7.375" style="0" customWidth="1"/>
    <col min="105" max="105" width="10.25390625" style="0" customWidth="1"/>
    <col min="106" max="106" width="18.00390625" style="0" hidden="1" customWidth="1"/>
    <col min="107" max="107" width="15.25390625" style="0" hidden="1" customWidth="1"/>
    <col min="108" max="108" width="9.125" style="0" hidden="1" customWidth="1"/>
    <col min="109" max="109" width="11.75390625" style="0" customWidth="1"/>
    <col min="110" max="110" width="9.375" style="0" customWidth="1"/>
    <col min="111" max="111" width="6.75390625" style="0" customWidth="1"/>
    <col min="112" max="112" width="10.75390625" style="0" customWidth="1"/>
    <col min="113" max="113" width="16.125" style="0" hidden="1" customWidth="1"/>
    <col min="114" max="114" width="13.875" style="0" hidden="1" customWidth="1"/>
    <col min="115" max="115" width="9.125" style="0" hidden="1" customWidth="1"/>
    <col min="116" max="116" width="11.125" style="0" customWidth="1"/>
    <col min="117" max="117" width="9.125" style="0" customWidth="1"/>
    <col min="118" max="118" width="8.375" style="0" customWidth="1"/>
    <col min="119" max="119" width="10.625" style="0" customWidth="1"/>
    <col min="120" max="120" width="15.25390625" style="0" hidden="1" customWidth="1"/>
    <col min="121" max="121" width="14.00390625" style="0" hidden="1" customWidth="1"/>
    <col min="122" max="122" width="9.125" style="0" hidden="1" customWidth="1"/>
    <col min="123" max="123" width="10.75390625" style="0" hidden="1" customWidth="1"/>
    <col min="124" max="124" width="11.375" style="0" hidden="1" customWidth="1"/>
    <col min="125" max="125" width="11.875" style="0" hidden="1" customWidth="1"/>
    <col min="126" max="126" width="9.125" style="0" hidden="1" customWidth="1"/>
    <col min="127" max="127" width="11.00390625" style="0" hidden="1" customWidth="1"/>
    <col min="128" max="128" width="12.125" style="0" hidden="1" customWidth="1"/>
    <col min="129" max="129" width="12.25390625" style="0" hidden="1" customWidth="1"/>
    <col min="130" max="130" width="9.125" style="0" hidden="1" customWidth="1"/>
    <col min="131" max="131" width="22.00390625" style="0" hidden="1" customWidth="1"/>
    <col min="132" max="132" width="14.875" style="0" hidden="1" customWidth="1"/>
    <col min="133" max="133" width="13.00390625" style="0" hidden="1" customWidth="1"/>
    <col min="134" max="134" width="9.125" style="0" hidden="1" customWidth="1"/>
    <col min="135" max="135" width="12.125" style="0" customWidth="1"/>
    <col min="136" max="136" width="10.125" style="0" customWidth="1"/>
    <col min="137" max="137" width="6.625" style="0" customWidth="1"/>
    <col min="138" max="138" width="10.75390625" style="0" customWidth="1"/>
    <col min="139" max="139" width="10.875" style="0" customWidth="1"/>
    <col min="140" max="141" width="9.00390625" style="0" customWidth="1"/>
    <col min="142" max="142" width="10.875" style="0" customWidth="1"/>
    <col min="143" max="143" width="10.75390625" style="0" customWidth="1"/>
    <col min="144" max="144" width="11.375" style="0" customWidth="1"/>
    <col min="145" max="145" width="9.75390625" style="0" customWidth="1"/>
    <col min="146" max="146" width="9.625" style="0" customWidth="1"/>
    <col min="147" max="147" width="9.875" style="0" hidden="1" customWidth="1"/>
    <col min="148" max="148" width="10.25390625" style="0" customWidth="1"/>
    <col min="149" max="149" width="12.00390625" style="0" customWidth="1"/>
    <col min="150" max="150" width="8.875" style="0" customWidth="1"/>
    <col min="151" max="151" width="8.125" style="0" customWidth="1"/>
    <col min="152" max="152" width="10.00390625" style="0" customWidth="1"/>
    <col min="153" max="154" width="10.25390625" style="0" customWidth="1"/>
    <col min="155" max="155" width="8.875" style="0" customWidth="1"/>
    <col min="156" max="156" width="10.375" style="0" customWidth="1"/>
    <col min="157" max="157" width="15.25390625" style="0" hidden="1" customWidth="1"/>
    <col min="158" max="158" width="13.625" style="0" hidden="1" customWidth="1"/>
    <col min="159" max="159" width="11.00390625" style="0" customWidth="1"/>
    <col min="160" max="160" width="9.75390625" style="0" customWidth="1"/>
    <col min="161" max="161" width="8.875" style="0" customWidth="1"/>
    <col min="162" max="162" width="10.75390625" style="0" customWidth="1"/>
    <col min="163" max="163" width="10.25390625" style="0" customWidth="1"/>
    <col min="164" max="165" width="10.375" style="0" customWidth="1"/>
    <col min="166" max="166" width="8.75390625" style="0" customWidth="1"/>
    <col min="167" max="167" width="6.00390625" style="0" customWidth="1"/>
    <col min="168" max="168" width="10.625" style="0" customWidth="1"/>
    <col min="169" max="169" width="11.625" style="0" customWidth="1"/>
    <col min="170" max="170" width="8.75390625" style="0" customWidth="1"/>
    <col min="171" max="171" width="6.625" style="0" customWidth="1"/>
    <col min="172" max="173" width="10.375" style="0" customWidth="1"/>
    <col min="174" max="174" width="11.25390625" style="0" customWidth="1"/>
    <col min="175" max="175" width="8.375" style="0" customWidth="1"/>
    <col min="176" max="176" width="7.125" style="0" customWidth="1"/>
    <col min="177" max="177" width="10.125" style="0" customWidth="1"/>
    <col min="178" max="178" width="11.125" style="0" customWidth="1"/>
    <col min="179" max="179" width="8.875" style="0" customWidth="1"/>
    <col min="180" max="180" width="6.75390625" style="0" customWidth="1"/>
    <col min="181" max="181" width="10.375" style="0" customWidth="1"/>
    <col min="182" max="182" width="12.375" style="0" customWidth="1"/>
    <col min="183" max="183" width="9.125" style="0" customWidth="1"/>
    <col min="184" max="184" width="5.875" style="0" customWidth="1"/>
    <col min="185" max="185" width="10.375" style="0" customWidth="1"/>
    <col min="186" max="186" width="11.375" style="0" customWidth="1"/>
    <col min="187" max="187" width="9.125" style="0" customWidth="1"/>
    <col min="188" max="188" width="7.125" style="0" customWidth="1"/>
    <col min="189" max="189" width="10.125" style="0" customWidth="1"/>
    <col min="190" max="190" width="11.25390625" style="0" customWidth="1"/>
    <col min="191" max="191" width="9.75390625" style="0" customWidth="1"/>
    <col min="192" max="192" width="8.00390625" style="0" customWidth="1"/>
    <col min="193" max="193" width="10.25390625" style="0" customWidth="1"/>
    <col min="194" max="194" width="10.625" style="0" customWidth="1"/>
    <col min="195" max="195" width="10.375" style="0" customWidth="1"/>
    <col min="196" max="196" width="12.00390625" style="0" customWidth="1"/>
    <col min="197" max="197" width="10.25390625" style="0" customWidth="1"/>
    <col min="198" max="198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98" ht="18.75" thickBot="1">
      <c r="A3" s="18"/>
      <c r="B3" s="18"/>
      <c r="C3" s="18"/>
      <c r="D3" s="18"/>
      <c r="E3" s="18"/>
      <c r="F3" s="18"/>
      <c r="G3" s="18"/>
      <c r="H3" s="18"/>
      <c r="I3" s="18"/>
      <c r="J3" s="5"/>
      <c r="K3" s="5"/>
      <c r="L3" s="5"/>
      <c r="M3" s="5"/>
      <c r="N3" s="5" t="s">
        <v>64</v>
      </c>
      <c r="O3" s="5"/>
      <c r="GM3" s="18"/>
      <c r="GN3" s="18"/>
      <c r="GO3" s="18"/>
      <c r="GP3" s="18"/>
    </row>
    <row r="4" spans="1:198" ht="18.75" thickBot="1">
      <c r="A4" s="18"/>
      <c r="B4" s="18"/>
      <c r="C4" s="18" t="s">
        <v>62</v>
      </c>
      <c r="D4" s="18"/>
      <c r="E4" s="18"/>
      <c r="F4" s="18"/>
      <c r="G4" s="18"/>
      <c r="H4" s="18"/>
      <c r="I4" s="18"/>
      <c r="EM4" s="139"/>
      <c r="EN4" s="18"/>
      <c r="EO4" s="18"/>
      <c r="EP4" s="18"/>
      <c r="GM4" s="95"/>
      <c r="GN4" s="95"/>
      <c r="GO4" s="95"/>
      <c r="GP4" s="95"/>
    </row>
    <row r="5" spans="3:199" ht="18.75" thickBot="1">
      <c r="C5" s="19" t="s">
        <v>63</v>
      </c>
      <c r="D5" s="19"/>
      <c r="E5" s="19"/>
      <c r="F5" s="19"/>
      <c r="G5" s="19"/>
      <c r="H5" s="19"/>
      <c r="I5" s="19"/>
      <c r="EM5" s="19"/>
      <c r="EN5" s="19"/>
      <c r="EO5" s="19"/>
      <c r="EP5" s="19"/>
      <c r="GM5" s="96"/>
      <c r="GN5" s="96"/>
      <c r="GO5" s="227" t="s">
        <v>37</v>
      </c>
      <c r="GP5" s="227"/>
      <c r="GQ5" s="37"/>
    </row>
    <row r="6" spans="1:199" ht="105" customHeight="1" thickBot="1">
      <c r="A6" s="193" t="s">
        <v>0</v>
      </c>
      <c r="B6" s="219" t="s">
        <v>22</v>
      </c>
      <c r="C6" s="205"/>
      <c r="D6" s="205"/>
      <c r="E6" s="228"/>
      <c r="F6" s="207" t="s">
        <v>19</v>
      </c>
      <c r="G6" s="208"/>
      <c r="H6" s="208"/>
      <c r="I6" s="216"/>
      <c r="J6" s="207" t="s">
        <v>33</v>
      </c>
      <c r="K6" s="208"/>
      <c r="L6" s="208"/>
      <c r="M6" s="209"/>
      <c r="N6" s="229" t="s">
        <v>50</v>
      </c>
      <c r="O6" s="230"/>
      <c r="P6" s="230"/>
      <c r="Q6" s="230"/>
      <c r="R6" s="230"/>
      <c r="S6" s="230"/>
      <c r="T6" s="231"/>
      <c r="U6" s="232" t="s">
        <v>17</v>
      </c>
      <c r="V6" s="230"/>
      <c r="W6" s="230"/>
      <c r="X6" s="230"/>
      <c r="Y6" s="230"/>
      <c r="Z6" s="230"/>
      <c r="AA6" s="231"/>
      <c r="AB6" s="232" t="s">
        <v>21</v>
      </c>
      <c r="AC6" s="230"/>
      <c r="AD6" s="230"/>
      <c r="AE6" s="215"/>
      <c r="AF6" s="214">
        <v>11020200</v>
      </c>
      <c r="AG6" s="215"/>
      <c r="AH6" s="212" t="s">
        <v>53</v>
      </c>
      <c r="AI6" s="213"/>
      <c r="AJ6" s="210">
        <v>13010200</v>
      </c>
      <c r="AK6" s="211"/>
      <c r="AL6" s="233" t="s">
        <v>34</v>
      </c>
      <c r="AM6" s="234"/>
      <c r="AN6" s="234"/>
      <c r="AO6" s="235"/>
      <c r="AP6" s="233" t="s">
        <v>35</v>
      </c>
      <c r="AQ6" s="234"/>
      <c r="AR6" s="234"/>
      <c r="AS6" s="235"/>
      <c r="AT6" s="205" t="s">
        <v>18</v>
      </c>
      <c r="AU6" s="205"/>
      <c r="AV6" s="205"/>
      <c r="AW6" s="205"/>
      <c r="AX6" s="205"/>
      <c r="AY6" s="205"/>
      <c r="AZ6" s="205"/>
      <c r="BA6" s="205"/>
      <c r="BB6" s="205"/>
      <c r="BC6" s="205"/>
      <c r="BD6" s="206"/>
      <c r="BE6" s="219" t="s">
        <v>25</v>
      </c>
      <c r="BF6" s="205"/>
      <c r="BG6" s="205"/>
      <c r="BH6" s="205"/>
      <c r="BI6" s="221" t="s">
        <v>55</v>
      </c>
      <c r="BJ6" s="221"/>
      <c r="BK6" s="221"/>
      <c r="BL6" s="221"/>
      <c r="BM6" s="197" t="s">
        <v>7</v>
      </c>
      <c r="BN6" s="197"/>
      <c r="BO6" s="197"/>
      <c r="BP6" s="197"/>
      <c r="BQ6" s="197"/>
      <c r="BR6" s="197"/>
      <c r="BS6" s="198"/>
      <c r="BT6" s="196" t="s">
        <v>8</v>
      </c>
      <c r="BU6" s="197"/>
      <c r="BV6" s="197"/>
      <c r="BW6" s="197"/>
      <c r="BX6" s="197"/>
      <c r="BY6" s="197"/>
      <c r="BZ6" s="197"/>
      <c r="CA6" s="198"/>
      <c r="CB6" s="196" t="s">
        <v>16</v>
      </c>
      <c r="CC6" s="197"/>
      <c r="CD6" s="197"/>
      <c r="CE6" s="197"/>
      <c r="CF6" s="197"/>
      <c r="CG6" s="197"/>
      <c r="CH6" s="197"/>
      <c r="CI6" s="196" t="s">
        <v>9</v>
      </c>
      <c r="CJ6" s="197"/>
      <c r="CK6" s="197"/>
      <c r="CL6" s="197"/>
      <c r="CM6" s="197"/>
      <c r="CN6" s="197"/>
      <c r="CO6" s="198"/>
      <c r="CP6" s="222" t="s">
        <v>54</v>
      </c>
      <c r="CQ6" s="223"/>
      <c r="CR6" s="223"/>
      <c r="CS6" s="224"/>
      <c r="CT6" s="196" t="s">
        <v>10</v>
      </c>
      <c r="CU6" s="197"/>
      <c r="CV6" s="197"/>
      <c r="CW6" s="197"/>
      <c r="CX6" s="197"/>
      <c r="CY6" s="197"/>
      <c r="CZ6" s="198"/>
      <c r="DA6" s="196" t="s">
        <v>11</v>
      </c>
      <c r="DB6" s="197"/>
      <c r="DC6" s="197"/>
      <c r="DD6" s="197"/>
      <c r="DE6" s="197"/>
      <c r="DF6" s="197"/>
      <c r="DG6" s="198"/>
      <c r="DH6" s="196" t="s">
        <v>12</v>
      </c>
      <c r="DI6" s="197"/>
      <c r="DJ6" s="197"/>
      <c r="DK6" s="197"/>
      <c r="DL6" s="197"/>
      <c r="DM6" s="197"/>
      <c r="DN6" s="198"/>
      <c r="DO6" s="196" t="s">
        <v>13</v>
      </c>
      <c r="DP6" s="197"/>
      <c r="DQ6" s="197"/>
      <c r="DR6" s="197"/>
      <c r="DS6" s="197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202" t="s">
        <v>36</v>
      </c>
      <c r="EI6" s="203"/>
      <c r="EJ6" s="203"/>
      <c r="EK6" s="203"/>
      <c r="EL6" s="94">
        <v>18041400</v>
      </c>
      <c r="EM6" s="218" t="s">
        <v>26</v>
      </c>
      <c r="EN6" s="218"/>
      <c r="EO6" s="218"/>
      <c r="EP6" s="220"/>
      <c r="EQ6" s="110">
        <v>18050200</v>
      </c>
      <c r="ER6" s="196" t="s">
        <v>14</v>
      </c>
      <c r="ES6" s="197"/>
      <c r="ET6" s="197"/>
      <c r="EU6" s="198"/>
      <c r="EV6" s="196" t="s">
        <v>51</v>
      </c>
      <c r="EW6" s="197"/>
      <c r="EX6" s="197"/>
      <c r="EY6" s="198"/>
      <c r="EZ6" s="196" t="s">
        <v>15</v>
      </c>
      <c r="FA6" s="197"/>
      <c r="FB6" s="197"/>
      <c r="FC6" s="197"/>
      <c r="FD6" s="197"/>
      <c r="FE6" s="198"/>
      <c r="FF6" s="140">
        <v>21010000</v>
      </c>
      <c r="FG6" s="140"/>
      <c r="FH6" s="217" t="s">
        <v>38</v>
      </c>
      <c r="FI6" s="218"/>
      <c r="FJ6" s="218"/>
      <c r="FK6" s="220"/>
      <c r="FL6" s="217" t="s">
        <v>27</v>
      </c>
      <c r="FM6" s="218"/>
      <c r="FN6" s="218"/>
      <c r="FO6" s="218"/>
      <c r="FP6" s="143">
        <v>22010300</v>
      </c>
      <c r="FQ6" s="202" t="s">
        <v>28</v>
      </c>
      <c r="FR6" s="203"/>
      <c r="FS6" s="203"/>
      <c r="FT6" s="203"/>
      <c r="FU6" s="202" t="s">
        <v>29</v>
      </c>
      <c r="FV6" s="203"/>
      <c r="FW6" s="203"/>
      <c r="FX6" s="203"/>
      <c r="FY6" s="199" t="s">
        <v>31</v>
      </c>
      <c r="FZ6" s="200"/>
      <c r="GA6" s="200"/>
      <c r="GB6" s="201"/>
      <c r="GC6" s="199" t="s">
        <v>30</v>
      </c>
      <c r="GD6" s="200"/>
      <c r="GE6" s="200"/>
      <c r="GF6" s="201"/>
      <c r="GG6" s="194" t="s">
        <v>56</v>
      </c>
      <c r="GH6" s="204"/>
      <c r="GI6" s="204"/>
      <c r="GJ6" s="195"/>
      <c r="GK6" s="194">
        <v>31000000</v>
      </c>
      <c r="GL6" s="195"/>
      <c r="GM6" s="225" t="s">
        <v>32</v>
      </c>
      <c r="GN6" s="226"/>
      <c r="GO6" s="226"/>
      <c r="GP6" s="226"/>
      <c r="GQ6" s="37"/>
    </row>
    <row r="7" spans="1:199" ht="54.75" customHeight="1" thickBot="1">
      <c r="A7" s="75"/>
      <c r="B7" s="69" t="s">
        <v>60</v>
      </c>
      <c r="C7" s="69" t="s">
        <v>61</v>
      </c>
      <c r="D7" s="68" t="s">
        <v>23</v>
      </c>
      <c r="E7" s="68" t="s">
        <v>24</v>
      </c>
      <c r="F7" s="69" t="s">
        <v>60</v>
      </c>
      <c r="G7" s="69" t="s">
        <v>61</v>
      </c>
      <c r="H7" s="68" t="s">
        <v>23</v>
      </c>
      <c r="I7" s="68" t="s">
        <v>24</v>
      </c>
      <c r="J7" s="69" t="s">
        <v>60</v>
      </c>
      <c r="K7" s="69" t="s">
        <v>61</v>
      </c>
      <c r="L7" s="68" t="s">
        <v>23</v>
      </c>
      <c r="M7" s="68" t="s">
        <v>24</v>
      </c>
      <c r="N7" s="69" t="s">
        <v>60</v>
      </c>
      <c r="O7" s="69" t="s">
        <v>61</v>
      </c>
      <c r="P7" s="68" t="s">
        <v>23</v>
      </c>
      <c r="Q7" s="49" t="s">
        <v>48</v>
      </c>
      <c r="R7" s="26" t="s">
        <v>3</v>
      </c>
      <c r="S7" s="26" t="s">
        <v>1</v>
      </c>
      <c r="T7" s="68" t="s">
        <v>24</v>
      </c>
      <c r="U7" s="69" t="s">
        <v>60</v>
      </c>
      <c r="V7" s="69" t="s">
        <v>48</v>
      </c>
      <c r="W7" s="115" t="s">
        <v>3</v>
      </c>
      <c r="X7" s="115" t="s">
        <v>1</v>
      </c>
      <c r="Y7" s="69" t="s">
        <v>61</v>
      </c>
      <c r="Z7" s="181" t="s">
        <v>23</v>
      </c>
      <c r="AA7" s="94" t="s">
        <v>24</v>
      </c>
      <c r="AB7" s="69" t="s">
        <v>59</v>
      </c>
      <c r="AC7" s="69" t="s">
        <v>58</v>
      </c>
      <c r="AD7" s="68" t="s">
        <v>23</v>
      </c>
      <c r="AE7" s="68" t="s">
        <v>24</v>
      </c>
      <c r="AF7" s="69" t="s">
        <v>60</v>
      </c>
      <c r="AG7" s="69" t="s">
        <v>61</v>
      </c>
      <c r="AH7" s="179" t="s">
        <v>60</v>
      </c>
      <c r="AI7" s="179" t="s">
        <v>61</v>
      </c>
      <c r="AJ7" s="69" t="s">
        <v>60</v>
      </c>
      <c r="AK7" s="69" t="s">
        <v>61</v>
      </c>
      <c r="AL7" s="69" t="s">
        <v>60</v>
      </c>
      <c r="AM7" s="69" t="s">
        <v>61</v>
      </c>
      <c r="AN7" s="68" t="s">
        <v>23</v>
      </c>
      <c r="AO7" s="68" t="s">
        <v>24</v>
      </c>
      <c r="AP7" s="69" t="s">
        <v>60</v>
      </c>
      <c r="AQ7" s="69" t="s">
        <v>61</v>
      </c>
      <c r="AR7" s="68" t="s">
        <v>23</v>
      </c>
      <c r="AS7" s="68" t="s">
        <v>24</v>
      </c>
      <c r="AT7" s="69" t="s">
        <v>60</v>
      </c>
      <c r="AU7" s="69" t="s">
        <v>48</v>
      </c>
      <c r="AV7" s="68" t="s">
        <v>23</v>
      </c>
      <c r="AW7" s="68" t="s">
        <v>24</v>
      </c>
      <c r="AX7" s="115" t="s">
        <v>20</v>
      </c>
      <c r="AY7" s="116" t="s">
        <v>23</v>
      </c>
      <c r="AZ7" s="116" t="s">
        <v>24</v>
      </c>
      <c r="BA7" s="115" t="s">
        <v>1</v>
      </c>
      <c r="BB7" s="69" t="s">
        <v>61</v>
      </c>
      <c r="BC7" s="68" t="s">
        <v>23</v>
      </c>
      <c r="BD7" s="68" t="s">
        <v>24</v>
      </c>
      <c r="BE7" s="69" t="s">
        <v>60</v>
      </c>
      <c r="BF7" s="69" t="s">
        <v>61</v>
      </c>
      <c r="BG7" s="68" t="s">
        <v>23</v>
      </c>
      <c r="BH7" s="68" t="s">
        <v>24</v>
      </c>
      <c r="BI7" s="69" t="s">
        <v>60</v>
      </c>
      <c r="BJ7" s="69" t="s">
        <v>61</v>
      </c>
      <c r="BK7" s="68" t="s">
        <v>23</v>
      </c>
      <c r="BL7" s="68" t="s">
        <v>24</v>
      </c>
      <c r="BM7" s="69" t="s">
        <v>60</v>
      </c>
      <c r="BN7" s="116" t="s">
        <v>23</v>
      </c>
      <c r="BO7" s="116" t="s">
        <v>24</v>
      </c>
      <c r="BP7" s="68" t="s">
        <v>24</v>
      </c>
      <c r="BQ7" s="69" t="s">
        <v>61</v>
      </c>
      <c r="BR7" s="68" t="s">
        <v>23</v>
      </c>
      <c r="BS7" s="68" t="s">
        <v>24</v>
      </c>
      <c r="BT7" s="69" t="s">
        <v>60</v>
      </c>
      <c r="BU7" s="69" t="s">
        <v>48</v>
      </c>
      <c r="BV7" s="68" t="s">
        <v>23</v>
      </c>
      <c r="BW7" s="68" t="s">
        <v>24</v>
      </c>
      <c r="BX7" s="69" t="s">
        <v>61</v>
      </c>
      <c r="BY7" s="68" t="s">
        <v>23</v>
      </c>
      <c r="BZ7" s="68" t="s">
        <v>24</v>
      </c>
      <c r="CA7" s="68" t="s">
        <v>24</v>
      </c>
      <c r="CB7" s="69" t="s">
        <v>60</v>
      </c>
      <c r="CC7" s="69" t="s">
        <v>48</v>
      </c>
      <c r="CD7" s="68" t="s">
        <v>23</v>
      </c>
      <c r="CE7" s="68" t="s">
        <v>24</v>
      </c>
      <c r="CF7" s="69" t="s">
        <v>61</v>
      </c>
      <c r="CG7" s="68" t="s">
        <v>23</v>
      </c>
      <c r="CH7" s="68" t="s">
        <v>24</v>
      </c>
      <c r="CI7" s="69" t="s">
        <v>60</v>
      </c>
      <c r="CJ7" s="69" t="s">
        <v>48</v>
      </c>
      <c r="CK7" s="68" t="s">
        <v>23</v>
      </c>
      <c r="CL7" s="68" t="s">
        <v>24</v>
      </c>
      <c r="CM7" s="69" t="s">
        <v>61</v>
      </c>
      <c r="CN7" s="68" t="s">
        <v>23</v>
      </c>
      <c r="CO7" s="68" t="s">
        <v>24</v>
      </c>
      <c r="CP7" s="69" t="s">
        <v>60</v>
      </c>
      <c r="CQ7" s="69" t="s">
        <v>61</v>
      </c>
      <c r="CR7" s="68" t="s">
        <v>23</v>
      </c>
      <c r="CS7" s="68" t="s">
        <v>24</v>
      </c>
      <c r="CT7" s="69" t="s">
        <v>60</v>
      </c>
      <c r="CU7" s="68" t="s">
        <v>23</v>
      </c>
      <c r="CV7" s="68" t="s">
        <v>24</v>
      </c>
      <c r="CW7" s="68" t="s">
        <v>24</v>
      </c>
      <c r="CX7" s="69" t="s">
        <v>61</v>
      </c>
      <c r="CY7" s="68" t="s">
        <v>23</v>
      </c>
      <c r="CZ7" s="68" t="s">
        <v>24</v>
      </c>
      <c r="DA7" s="69" t="s">
        <v>60</v>
      </c>
      <c r="DB7" s="69" t="s">
        <v>48</v>
      </c>
      <c r="DC7" s="68" t="s">
        <v>23</v>
      </c>
      <c r="DD7" s="68" t="s">
        <v>24</v>
      </c>
      <c r="DE7" s="69" t="s">
        <v>61</v>
      </c>
      <c r="DF7" s="68" t="s">
        <v>23</v>
      </c>
      <c r="DG7" s="68" t="s">
        <v>24</v>
      </c>
      <c r="DH7" s="69" t="s">
        <v>60</v>
      </c>
      <c r="DI7" s="69" t="s">
        <v>48</v>
      </c>
      <c r="DJ7" s="68" t="s">
        <v>23</v>
      </c>
      <c r="DK7" s="68" t="s">
        <v>24</v>
      </c>
      <c r="DL7" s="69" t="s">
        <v>61</v>
      </c>
      <c r="DM7" s="68" t="s">
        <v>23</v>
      </c>
      <c r="DN7" s="68" t="s">
        <v>24</v>
      </c>
      <c r="DO7" s="69" t="s">
        <v>60</v>
      </c>
      <c r="DP7" s="69" t="s">
        <v>48</v>
      </c>
      <c r="DQ7" s="68" t="s">
        <v>23</v>
      </c>
      <c r="DR7" s="68" t="s">
        <v>24</v>
      </c>
      <c r="DS7" s="69" t="s">
        <v>48</v>
      </c>
      <c r="DT7" s="68" t="s">
        <v>23</v>
      </c>
      <c r="DU7" s="68" t="s">
        <v>24</v>
      </c>
      <c r="DV7" s="115" t="s">
        <v>1</v>
      </c>
      <c r="DW7" s="115" t="s">
        <v>6</v>
      </c>
      <c r="DX7" s="115" t="s">
        <v>5</v>
      </c>
      <c r="DY7" s="115" t="s">
        <v>3</v>
      </c>
      <c r="DZ7" s="115" t="s">
        <v>1</v>
      </c>
      <c r="EA7" s="115"/>
      <c r="EB7" s="115" t="s">
        <v>5</v>
      </c>
      <c r="EC7" s="115" t="s">
        <v>3</v>
      </c>
      <c r="ED7" s="115" t="s">
        <v>1</v>
      </c>
      <c r="EE7" s="69" t="s">
        <v>61</v>
      </c>
      <c r="EF7" s="68" t="s">
        <v>23</v>
      </c>
      <c r="EG7" s="68" t="s">
        <v>24</v>
      </c>
      <c r="EH7" s="69" t="s">
        <v>60</v>
      </c>
      <c r="EI7" s="69" t="s">
        <v>61</v>
      </c>
      <c r="EJ7" s="68" t="s">
        <v>23</v>
      </c>
      <c r="EK7" s="68" t="s">
        <v>24</v>
      </c>
      <c r="EL7" s="69" t="s">
        <v>60</v>
      </c>
      <c r="EM7" s="69" t="s">
        <v>60</v>
      </c>
      <c r="EN7" s="69" t="s">
        <v>61</v>
      </c>
      <c r="EO7" s="68" t="s">
        <v>23</v>
      </c>
      <c r="EP7" s="68" t="s">
        <v>24</v>
      </c>
      <c r="EQ7" s="69" t="s">
        <v>57</v>
      </c>
      <c r="ER7" s="69" t="s">
        <v>60</v>
      </c>
      <c r="ES7" s="69" t="s">
        <v>61</v>
      </c>
      <c r="ET7" s="68" t="s">
        <v>23</v>
      </c>
      <c r="EU7" s="68" t="s">
        <v>24</v>
      </c>
      <c r="EV7" s="69" t="s">
        <v>60</v>
      </c>
      <c r="EW7" s="69" t="s">
        <v>61</v>
      </c>
      <c r="EX7" s="68" t="s">
        <v>23</v>
      </c>
      <c r="EY7" s="68" t="s">
        <v>24</v>
      </c>
      <c r="EZ7" s="69" t="s">
        <v>60</v>
      </c>
      <c r="FA7" s="69" t="s">
        <v>48</v>
      </c>
      <c r="FB7" s="68" t="s">
        <v>23</v>
      </c>
      <c r="FC7" s="69" t="s">
        <v>61</v>
      </c>
      <c r="FD7" s="68" t="s">
        <v>49</v>
      </c>
      <c r="FE7" s="68" t="s">
        <v>1</v>
      </c>
      <c r="FF7" s="69" t="s">
        <v>60</v>
      </c>
      <c r="FG7" s="69" t="s">
        <v>61</v>
      </c>
      <c r="FH7" s="69" t="s">
        <v>60</v>
      </c>
      <c r="FI7" s="69" t="s">
        <v>61</v>
      </c>
      <c r="FJ7" s="68" t="s">
        <v>23</v>
      </c>
      <c r="FK7" s="68" t="s">
        <v>24</v>
      </c>
      <c r="FL7" s="69" t="s">
        <v>60</v>
      </c>
      <c r="FM7" s="69" t="s">
        <v>61</v>
      </c>
      <c r="FN7" s="68" t="s">
        <v>23</v>
      </c>
      <c r="FO7" s="68" t="s">
        <v>24</v>
      </c>
      <c r="FP7" s="69" t="s">
        <v>60</v>
      </c>
      <c r="FQ7" s="69" t="s">
        <v>60</v>
      </c>
      <c r="FR7" s="69" t="s">
        <v>61</v>
      </c>
      <c r="FS7" s="68" t="s">
        <v>23</v>
      </c>
      <c r="FT7" s="68" t="s">
        <v>24</v>
      </c>
      <c r="FU7" s="69" t="s">
        <v>60</v>
      </c>
      <c r="FV7" s="69" t="s">
        <v>61</v>
      </c>
      <c r="FW7" s="94" t="s">
        <v>23</v>
      </c>
      <c r="FX7" s="90" t="s">
        <v>24</v>
      </c>
      <c r="FY7" s="69" t="s">
        <v>60</v>
      </c>
      <c r="FZ7" s="69" t="s">
        <v>61</v>
      </c>
      <c r="GA7" s="94" t="s">
        <v>23</v>
      </c>
      <c r="GB7" s="90" t="s">
        <v>24</v>
      </c>
      <c r="GC7" s="69" t="s">
        <v>60</v>
      </c>
      <c r="GD7" s="192" t="s">
        <v>61</v>
      </c>
      <c r="GE7" s="94" t="s">
        <v>23</v>
      </c>
      <c r="GF7" s="90" t="s">
        <v>24</v>
      </c>
      <c r="GG7" s="69" t="s">
        <v>60</v>
      </c>
      <c r="GH7" s="69" t="s">
        <v>61</v>
      </c>
      <c r="GI7" s="94" t="s">
        <v>23</v>
      </c>
      <c r="GJ7" s="53" t="s">
        <v>24</v>
      </c>
      <c r="GK7" s="69" t="s">
        <v>60</v>
      </c>
      <c r="GL7" s="69" t="s">
        <v>61</v>
      </c>
      <c r="GM7" s="69" t="s">
        <v>60</v>
      </c>
      <c r="GN7" s="69" t="s">
        <v>61</v>
      </c>
      <c r="GO7" s="141" t="s">
        <v>23</v>
      </c>
      <c r="GP7" s="142" t="s">
        <v>24</v>
      </c>
      <c r="GQ7" s="37"/>
    </row>
    <row r="8" spans="1:199" ht="27.75" customHeight="1">
      <c r="A8" s="189" t="s">
        <v>44</v>
      </c>
      <c r="B8" s="176">
        <f>F8+J8+N8+U8+AB8</f>
        <v>10359.494999999999</v>
      </c>
      <c r="C8" s="41">
        <f>G8+K8+O8+Y8+AC8</f>
        <v>9661.081999999999</v>
      </c>
      <c r="D8" s="108">
        <f aca="true" t="shared" si="0" ref="D8:D21">B8-C8</f>
        <v>698.4130000000005</v>
      </c>
      <c r="E8" s="138">
        <f>B8/C8*100-100</f>
        <v>7.2291385167831095</v>
      </c>
      <c r="F8" s="70">
        <f>3266.959-342.652+3318.994-368.237+3518.405-367.218</f>
        <v>9026.250999999998</v>
      </c>
      <c r="G8" s="41">
        <v>8575.916</v>
      </c>
      <c r="H8" s="70">
        <f>F8-G8</f>
        <v>450.3349999999991</v>
      </c>
      <c r="I8" s="52">
        <f>F8/G8*100-100</f>
        <v>5.251159176465819</v>
      </c>
      <c r="J8" s="41">
        <v>487.86</v>
      </c>
      <c r="K8" s="41">
        <v>447.579</v>
      </c>
      <c r="L8" s="41">
        <f>J8-K8</f>
        <v>40.281000000000006</v>
      </c>
      <c r="M8" s="52">
        <f>J8/K8*100-100</f>
        <v>8.999751999088417</v>
      </c>
      <c r="N8" s="41">
        <v>427.778</v>
      </c>
      <c r="O8" s="41">
        <v>336.34</v>
      </c>
      <c r="P8" s="108">
        <f>N8-O8</f>
        <v>91.43800000000005</v>
      </c>
      <c r="Q8" s="35"/>
      <c r="R8" s="35"/>
      <c r="S8" s="35">
        <f>IF(P17=0,0,Q8/P17*100)</f>
        <v>0</v>
      </c>
      <c r="T8" s="35">
        <f>N8/O8*100-100</f>
        <v>27.186180650532222</v>
      </c>
      <c r="U8" s="41">
        <v>417.606</v>
      </c>
      <c r="V8" s="71"/>
      <c r="W8" s="71"/>
      <c r="X8" s="71"/>
      <c r="Y8" s="41">
        <v>301.247</v>
      </c>
      <c r="Z8" s="104">
        <f>U8-Y8</f>
        <v>116.35899999999998</v>
      </c>
      <c r="AA8" s="48">
        <f>U8/Y8*100-100</f>
        <v>38.62577884593043</v>
      </c>
      <c r="AB8" s="98"/>
      <c r="AC8" s="98"/>
      <c r="AD8" s="98">
        <f>AB8-AC8</f>
        <v>0</v>
      </c>
      <c r="AE8" s="72"/>
      <c r="AF8" s="177">
        <v>47.507</v>
      </c>
      <c r="AG8" s="177">
        <v>56.2</v>
      </c>
      <c r="AH8" s="180">
        <v>1.704</v>
      </c>
      <c r="AI8" s="180">
        <v>1.333</v>
      </c>
      <c r="AJ8" s="178">
        <v>0.194</v>
      </c>
      <c r="AK8" s="178">
        <v>0.168</v>
      </c>
      <c r="AL8" s="178">
        <v>294.717</v>
      </c>
      <c r="AM8" s="178">
        <v>187.982</v>
      </c>
      <c r="AN8" s="178">
        <f>AL8-AM8</f>
        <v>106.73499999999999</v>
      </c>
      <c r="AO8" s="178">
        <f>AL8/AM8*100-100</f>
        <v>56.779372493111026</v>
      </c>
      <c r="AP8" s="178">
        <v>992.948</v>
      </c>
      <c r="AQ8" s="45">
        <v>607.749</v>
      </c>
      <c r="AR8" s="45">
        <f>AP8-AQ8</f>
        <v>385.19899999999996</v>
      </c>
      <c r="AS8" s="45">
        <f>AP8/AQ8*100-100</f>
        <v>63.38126430483638</v>
      </c>
      <c r="AT8" s="178">
        <f>484.686-5.851</f>
        <v>478.835</v>
      </c>
      <c r="AU8" s="71"/>
      <c r="AV8" s="71"/>
      <c r="AW8" s="71"/>
      <c r="AX8" s="71"/>
      <c r="AY8" s="71"/>
      <c r="AZ8" s="71"/>
      <c r="BA8" s="71"/>
      <c r="BB8" s="45">
        <v>415.76</v>
      </c>
      <c r="BC8" s="41">
        <f>AT8-BB8</f>
        <v>63.07499999999999</v>
      </c>
      <c r="BD8" s="52">
        <f>AT8/BB8*100-100</f>
        <v>15.1710121223783</v>
      </c>
      <c r="BE8" s="182">
        <f>BI8+CP8+EH8</f>
        <v>1445.3830000000003</v>
      </c>
      <c r="BF8" s="41">
        <f>BJ8+CQ8+EI8</f>
        <v>1182.1860000000001</v>
      </c>
      <c r="BG8" s="52">
        <f>BE8-BF8</f>
        <v>263.1970000000001</v>
      </c>
      <c r="BH8" s="52">
        <f>BE8/BF8*100-100</f>
        <v>22.263586271534265</v>
      </c>
      <c r="BI8" s="41">
        <f>BM8+BT8+CB8+CI8</f>
        <v>397.574</v>
      </c>
      <c r="BJ8" s="41">
        <f>BQ8+BX8+CF8+CM8</f>
        <v>339.595</v>
      </c>
      <c r="BK8" s="52">
        <f>BI8-BJ8</f>
        <v>57.978999999999985</v>
      </c>
      <c r="BL8" s="52">
        <f>BI8/BJ8*100-100</f>
        <v>17.07298399564185</v>
      </c>
      <c r="BM8" s="41">
        <f>4.959+3.85</f>
        <v>8.809</v>
      </c>
      <c r="BN8" s="71"/>
      <c r="BO8" s="71"/>
      <c r="BP8" s="71"/>
      <c r="BQ8" s="41">
        <v>8.634</v>
      </c>
      <c r="BR8" s="41">
        <f>BM8-BQ8</f>
        <v>0.17499999999999893</v>
      </c>
      <c r="BS8" s="52">
        <f>BM8/BQ8*100-100</f>
        <v>2.026870511929573</v>
      </c>
      <c r="BT8" s="70">
        <v>2.226</v>
      </c>
      <c r="BU8" s="48"/>
      <c r="BV8" s="48"/>
      <c r="BW8" s="48"/>
      <c r="BX8" s="70">
        <v>3.018</v>
      </c>
      <c r="BY8" s="50">
        <f>BT8-BX8</f>
        <v>-0.7919999999999998</v>
      </c>
      <c r="BZ8" s="48"/>
      <c r="CA8" s="52">
        <f>BX8/BT8*100</f>
        <v>135.57951482479785</v>
      </c>
      <c r="CB8" s="70">
        <v>89.436</v>
      </c>
      <c r="CC8" s="71"/>
      <c r="CD8" s="71"/>
      <c r="CE8" s="71"/>
      <c r="CF8" s="70">
        <v>16.343</v>
      </c>
      <c r="CG8" s="41">
        <f>CB8-CF8</f>
        <v>73.093</v>
      </c>
      <c r="CH8" s="52">
        <f>CB8/CF8*100-100</f>
        <v>447.24346815150216</v>
      </c>
      <c r="CI8" s="73">
        <f>163.96+120.768+12.375</f>
        <v>297.103</v>
      </c>
      <c r="CJ8" s="71"/>
      <c r="CK8" s="71"/>
      <c r="CL8" s="71">
        <f>IF(CI8=0,0,CJ8/CI8*100)</f>
        <v>0</v>
      </c>
      <c r="CM8" s="73">
        <v>311.6</v>
      </c>
      <c r="CN8" s="71">
        <f>CI8-CM8</f>
        <v>-14.497000000000014</v>
      </c>
      <c r="CO8" s="52">
        <f>CI8/CM8*100-100</f>
        <v>-4.652439024390247</v>
      </c>
      <c r="CP8" s="52">
        <f>CT8+DA8+DH8+DO8</f>
        <v>1041.5590000000002</v>
      </c>
      <c r="CQ8" s="52">
        <f>CX8+DE8+DL8+EE8</f>
        <v>823.191</v>
      </c>
      <c r="CR8" s="52">
        <f>CP8-CQ8</f>
        <v>218.36800000000017</v>
      </c>
      <c r="CS8" s="52">
        <f>CP8/CQ8*100-100</f>
        <v>26.527014994090095</v>
      </c>
      <c r="CT8" s="71">
        <v>276.074</v>
      </c>
      <c r="CU8" s="71"/>
      <c r="CV8" s="71"/>
      <c r="CW8" s="71"/>
      <c r="CX8" s="71">
        <v>217.743</v>
      </c>
      <c r="CY8" s="41">
        <f>CT8-CX8</f>
        <v>58.33100000000002</v>
      </c>
      <c r="CZ8" s="52">
        <f>CT8/CX8*100-100</f>
        <v>26.788920883794205</v>
      </c>
      <c r="DA8" s="70">
        <v>366.882</v>
      </c>
      <c r="DB8" s="71"/>
      <c r="DC8" s="71"/>
      <c r="DD8" s="71"/>
      <c r="DE8" s="41">
        <v>352.588</v>
      </c>
      <c r="DF8" s="41">
        <f>DA8-DE8</f>
        <v>14.293999999999983</v>
      </c>
      <c r="DG8" s="52">
        <f>DA8/DE8*100-100</f>
        <v>4.054023392741655</v>
      </c>
      <c r="DH8" s="73">
        <f>10.375+2.455</f>
        <v>12.83</v>
      </c>
      <c r="DI8" s="71"/>
      <c r="DJ8" s="71"/>
      <c r="DK8" s="71"/>
      <c r="DL8" s="73">
        <v>12.035</v>
      </c>
      <c r="DM8" s="35">
        <f>DH8-DL8</f>
        <v>0.7949999999999999</v>
      </c>
      <c r="DN8" s="52">
        <f>DH8/DL8*100-100</f>
        <v>6.605733277939336</v>
      </c>
      <c r="DO8" s="41">
        <v>385.773</v>
      </c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41">
        <v>240.825</v>
      </c>
      <c r="EF8" s="41">
        <f>DO8-EE8</f>
        <v>144.94800000000004</v>
      </c>
      <c r="EG8" s="52">
        <f>DO8/EE8*100-100</f>
        <v>60.188103394581134</v>
      </c>
      <c r="EH8" s="70">
        <v>6.25</v>
      </c>
      <c r="EI8" s="41">
        <v>19.4</v>
      </c>
      <c r="EJ8" s="41">
        <f>EH8-EI8</f>
        <v>-13.149999999999999</v>
      </c>
      <c r="EK8" s="52">
        <f>EI8/EH8*100-100</f>
        <v>210.39999999999998</v>
      </c>
      <c r="EL8" s="52"/>
      <c r="EM8" s="182">
        <f aca="true" t="shared" si="1" ref="EM8:EM17">EQ8+ER8+EV8+EZ8</f>
        <v>2374.8709999999996</v>
      </c>
      <c r="EN8" s="41">
        <f>ES8+EW8+FC8</f>
        <v>2596.154</v>
      </c>
      <c r="EO8" s="41">
        <f>EM8-EN8</f>
        <v>-221.28300000000036</v>
      </c>
      <c r="EP8" s="52">
        <f>EM8/EN8*100-100</f>
        <v>-8.52349282823748</v>
      </c>
      <c r="EQ8" s="41"/>
      <c r="ER8" s="70">
        <f>47.759+146.012+0.312</f>
        <v>194.08300000000003</v>
      </c>
      <c r="ES8" s="73">
        <v>351.478</v>
      </c>
      <c r="ET8" s="35">
        <f>ER8-ES8</f>
        <v>-157.39499999999998</v>
      </c>
      <c r="EU8" s="52">
        <f>ER8/ES8*100-100</f>
        <v>-44.780896670630874</v>
      </c>
      <c r="EV8" s="70">
        <f>541.842+1025.421+314.936</f>
        <v>1882.1989999999998</v>
      </c>
      <c r="EW8" s="70">
        <v>2044.475</v>
      </c>
      <c r="EX8" s="41">
        <f>EV8-EW8</f>
        <v>-162.27600000000007</v>
      </c>
      <c r="EY8" s="52">
        <f>EV8/EW8*100-100</f>
        <v>-7.937294415436725</v>
      </c>
      <c r="EZ8" s="70">
        <f>235.812+62.777</f>
        <v>298.589</v>
      </c>
      <c r="FA8" s="71"/>
      <c r="FB8" s="71"/>
      <c r="FC8" s="70">
        <v>200.201</v>
      </c>
      <c r="FD8" s="41">
        <f>EZ8-FC8</f>
        <v>98.388</v>
      </c>
      <c r="FE8" s="52">
        <f>EZ8/FC8*100-100</f>
        <v>49.144609667284385</v>
      </c>
      <c r="FF8" s="41">
        <v>13.214</v>
      </c>
      <c r="FG8" s="41"/>
      <c r="FH8" s="183">
        <v>1.543</v>
      </c>
      <c r="FI8" s="183">
        <v>2.336</v>
      </c>
      <c r="FJ8" s="182">
        <f>FH8-FI8</f>
        <v>-0.7929999999999999</v>
      </c>
      <c r="FK8" s="184">
        <f>FH8/FI8*100-100</f>
        <v>-33.94691780821918</v>
      </c>
      <c r="FL8" s="185">
        <f>FP8+FQ8+FU8</f>
        <v>264.00100000000003</v>
      </c>
      <c r="FM8" s="121">
        <f>FR8+FV8</f>
        <v>138.025</v>
      </c>
      <c r="FN8" s="125">
        <f>FL8-FM8</f>
        <v>125.97600000000003</v>
      </c>
      <c r="FO8" s="126">
        <f>FL8/FM8*100-100</f>
        <v>91.2704220249955</v>
      </c>
      <c r="FP8" s="148">
        <v>69.04</v>
      </c>
      <c r="FQ8" s="62">
        <v>93.339</v>
      </c>
      <c r="FR8" s="61">
        <v>89.145</v>
      </c>
      <c r="FS8" s="42">
        <f>FQ8-FR8</f>
        <v>4.194000000000003</v>
      </c>
      <c r="FT8" s="29">
        <f>FQ8/FR8*100-100</f>
        <v>4.704694598687539</v>
      </c>
      <c r="FU8" s="74">
        <v>101.622</v>
      </c>
      <c r="FV8" s="74">
        <v>48.88</v>
      </c>
      <c r="FW8" s="28">
        <f>FU8-FV8</f>
        <v>52.742</v>
      </c>
      <c r="FX8" s="29">
        <f>FU8/FV8*100-100</f>
        <v>107.90098199672667</v>
      </c>
      <c r="FY8" s="186">
        <v>3.971</v>
      </c>
      <c r="FZ8" s="61">
        <v>1.053</v>
      </c>
      <c r="GA8" s="42">
        <f>FZ8-FY8</f>
        <v>-2.918</v>
      </c>
      <c r="GB8" s="27">
        <f>FZ8/FY8*100</f>
        <v>26.517250062956432</v>
      </c>
      <c r="GC8" s="187">
        <v>3.525</v>
      </c>
      <c r="GD8" s="86">
        <v>3.383</v>
      </c>
      <c r="GE8" s="27">
        <f>GC8-GD8</f>
        <v>0.1419999999999999</v>
      </c>
      <c r="GF8" s="91">
        <f>GC8/GD8*100-100</f>
        <v>4.197457877623407</v>
      </c>
      <c r="GG8" s="188">
        <v>48.942</v>
      </c>
      <c r="GH8" s="62">
        <v>19.238</v>
      </c>
      <c r="GI8" s="28">
        <f>GG8-GH8</f>
        <v>29.704</v>
      </c>
      <c r="GJ8" s="27">
        <f>GG8/GH8*100-100</f>
        <v>154.40274456804244</v>
      </c>
      <c r="GK8" s="108">
        <v>0</v>
      </c>
      <c r="GL8" s="108"/>
      <c r="GM8" s="41">
        <f>B8+AT8+BE8+EM8+FH8+FL8+FY8+GC8+GG8+AH8+AJ8+AL8+AP8+GK8+FF8+EL8+AF8</f>
        <v>16330.849999999995</v>
      </c>
      <c r="GN8" s="41">
        <f>C8+BB8+BF8+EN8++FI8+FM8+FZ8+GD8+GH8+AK8+AI8+AG8+GL8+AM8+AQ8+FG8</f>
        <v>14872.648999999998</v>
      </c>
      <c r="GO8" s="42">
        <f>GM8-GN8</f>
        <v>1458.2009999999973</v>
      </c>
      <c r="GP8" s="29">
        <f>GM8/GN8*100-100</f>
        <v>9.804581551006805</v>
      </c>
      <c r="GQ8" s="37"/>
    </row>
    <row r="9" spans="1:199" ht="24" customHeight="1">
      <c r="A9" s="190" t="s">
        <v>45</v>
      </c>
      <c r="B9" s="112">
        <f aca="true" t="shared" si="2" ref="B9:B17">F9+J9+N9+U9+AB9</f>
        <v>634.316</v>
      </c>
      <c r="C9" s="41">
        <f>G9+K9+O9+Y9+AC9</f>
        <v>454.24600000000004</v>
      </c>
      <c r="D9" s="38">
        <f t="shared" si="0"/>
        <v>180.07</v>
      </c>
      <c r="E9" s="52">
        <f>B9/C9*100-100</f>
        <v>39.6415158306292</v>
      </c>
      <c r="F9" s="39">
        <f>94.531+43.322+99.33+46.714+173.194+44.3</f>
        <v>501.391</v>
      </c>
      <c r="G9" s="39">
        <v>329.345</v>
      </c>
      <c r="H9" s="70">
        <f aca="true" t="shared" si="3" ref="H9:H21">F9-G9</f>
        <v>172.046</v>
      </c>
      <c r="I9" s="52">
        <f aca="true" t="shared" si="4" ref="I9:I21">F9/G9*100-100</f>
        <v>52.2388376929967</v>
      </c>
      <c r="J9" s="16"/>
      <c r="K9" s="16"/>
      <c r="L9" s="16"/>
      <c r="M9" s="6"/>
      <c r="N9" s="38">
        <v>124.763</v>
      </c>
      <c r="O9" s="38">
        <v>122.384</v>
      </c>
      <c r="P9" s="38">
        <f aca="true" t="shared" si="5" ref="P9:P21">N9-O9</f>
        <v>2.379000000000005</v>
      </c>
      <c r="Q9" s="16">
        <v>2636</v>
      </c>
      <c r="R9" s="16">
        <f>P9-Q9</f>
        <v>-2633.621</v>
      </c>
      <c r="S9" s="16">
        <f>P9/Q9*100</f>
        <v>0.0902503793626709</v>
      </c>
      <c r="T9" s="35">
        <f aca="true" t="shared" si="6" ref="T9:T21">N9/O9*100-100</f>
        <v>1.9438815531441946</v>
      </c>
      <c r="U9" s="38">
        <v>8.162</v>
      </c>
      <c r="V9" s="6"/>
      <c r="W9" s="6"/>
      <c r="X9" s="6"/>
      <c r="Y9" s="38">
        <v>2.517</v>
      </c>
      <c r="Z9" s="104">
        <f aca="true" t="shared" si="7" ref="Z9:Z21">U9-Y9</f>
        <v>5.645000000000001</v>
      </c>
      <c r="AA9" s="2">
        <f>U9/Y9*100-100</f>
        <v>224.27493047278512</v>
      </c>
      <c r="AB9" s="99"/>
      <c r="AC9" s="99"/>
      <c r="AD9" s="99"/>
      <c r="AE9" s="99"/>
      <c r="AF9" s="6"/>
      <c r="AG9" s="136"/>
      <c r="AH9" s="6"/>
      <c r="AI9" s="6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01">
        <v>1.853</v>
      </c>
      <c r="AU9" s="6"/>
      <c r="AV9" s="6"/>
      <c r="AW9" s="9"/>
      <c r="AX9" s="6"/>
      <c r="AY9" s="6"/>
      <c r="AZ9" s="15"/>
      <c r="BA9" s="9"/>
      <c r="BB9" s="101">
        <v>1.209</v>
      </c>
      <c r="BC9" s="41">
        <f aca="true" t="shared" si="8" ref="BC9:BC21">AT9-BB9</f>
        <v>0.6439999999999999</v>
      </c>
      <c r="BD9" s="52">
        <f aca="true" t="shared" si="9" ref="BD9:BD21">AT9/BB9*100-100</f>
        <v>53.26716294458228</v>
      </c>
      <c r="BE9" s="41">
        <f aca="true" t="shared" si="10" ref="BE9:BE21">BI9+CP9+EH9</f>
        <v>571.141</v>
      </c>
      <c r="BF9" s="41">
        <f aca="true" t="shared" si="11" ref="BF9:BF21">BJ9+CQ9+EI9</f>
        <v>552.712</v>
      </c>
      <c r="BG9" s="52">
        <f aca="true" t="shared" si="12" ref="BG9:BG21">BE9-BF9</f>
        <v>18.428999999999974</v>
      </c>
      <c r="BH9" s="52">
        <f aca="true" t="shared" si="13" ref="BH9:BH21">BE9/BF9*100-100</f>
        <v>3.3342862105400144</v>
      </c>
      <c r="BI9" s="41">
        <f aca="true" t="shared" si="14" ref="BI9:BI21">BM9+BT9+CB9+CI9</f>
        <v>27.494999999999997</v>
      </c>
      <c r="BJ9" s="52">
        <f aca="true" t="shared" si="15" ref="BJ9:BJ21">BQ9+BX9+CF9+CM9</f>
        <v>29.034000000000002</v>
      </c>
      <c r="BK9" s="52">
        <f aca="true" t="shared" si="16" ref="BK9:BK17">BI9-BJ9</f>
        <v>-1.539000000000005</v>
      </c>
      <c r="BL9" s="52">
        <f>BI9/BJ9*100-100</f>
        <v>-5.300681959082482</v>
      </c>
      <c r="BM9" s="6">
        <v>1.933</v>
      </c>
      <c r="BN9" s="6"/>
      <c r="BO9" s="6"/>
      <c r="BP9" s="9"/>
      <c r="BQ9" s="38">
        <v>0.425</v>
      </c>
      <c r="BR9" s="41">
        <f>BM9-BQ9</f>
        <v>1.508</v>
      </c>
      <c r="BS9" s="52">
        <f>BM9/BQ9*100-100</f>
        <v>354.82352941176475</v>
      </c>
      <c r="BT9" s="54"/>
      <c r="BU9" s="2"/>
      <c r="BV9" s="2"/>
      <c r="BW9" s="3"/>
      <c r="BX9" s="38"/>
      <c r="BY9" s="50">
        <f aca="true" t="shared" si="17" ref="BY9:BY17">BT9-BX9</f>
        <v>0</v>
      </c>
      <c r="BZ9" s="3"/>
      <c r="CA9" s="52"/>
      <c r="CB9" s="39"/>
      <c r="CC9" s="6"/>
      <c r="CD9" s="6"/>
      <c r="CE9" s="9"/>
      <c r="CF9" s="39"/>
      <c r="CG9" s="41"/>
      <c r="CH9" s="52"/>
      <c r="CI9" s="6">
        <f>17.459+8.103</f>
        <v>25.561999999999998</v>
      </c>
      <c r="CJ9" s="6"/>
      <c r="CK9" s="6"/>
      <c r="CL9" s="6"/>
      <c r="CM9" s="54">
        <v>28.609</v>
      </c>
      <c r="CN9" s="71">
        <f>CI9-CM9</f>
        <v>-3.047000000000004</v>
      </c>
      <c r="CO9" s="52">
        <f aca="true" t="shared" si="18" ref="CO9:CO17">CI9/CM9*100-100</f>
        <v>-10.65049459960153</v>
      </c>
      <c r="CP9" s="52">
        <f aca="true" t="shared" si="19" ref="CP9:CP21">CT9+DA9+DH9+DO9</f>
        <v>543.646</v>
      </c>
      <c r="CQ9" s="52">
        <f aca="true" t="shared" si="20" ref="CQ9:CQ21">CX9+DE9+DL9+EE9</f>
        <v>523.678</v>
      </c>
      <c r="CR9" s="52">
        <f aca="true" t="shared" si="21" ref="CR9:CR21">CP9-CQ9</f>
        <v>19.96799999999996</v>
      </c>
      <c r="CS9" s="52">
        <f aca="true" t="shared" si="22" ref="CS9:CS21">CP9/CQ9*100-100</f>
        <v>3.813030144478091</v>
      </c>
      <c r="CT9" s="54">
        <v>106.384</v>
      </c>
      <c r="CU9" s="6"/>
      <c r="CV9" s="6"/>
      <c r="CW9" s="9"/>
      <c r="CX9" s="39">
        <v>92.098</v>
      </c>
      <c r="CY9" s="41">
        <f aca="true" t="shared" si="23" ref="CY9:CY21">CT9-CX9</f>
        <v>14.286000000000001</v>
      </c>
      <c r="CZ9" s="52">
        <f aca="true" t="shared" si="24" ref="CZ9:CZ21">CT9/CX9*100-100</f>
        <v>15.511737497014039</v>
      </c>
      <c r="DA9" s="54">
        <v>402.53</v>
      </c>
      <c r="DB9" s="6"/>
      <c r="DC9" s="6"/>
      <c r="DD9" s="9"/>
      <c r="DE9" s="54">
        <v>411.873</v>
      </c>
      <c r="DF9" s="41">
        <f aca="true" t="shared" si="25" ref="DF9:DF21">DA9-DE9</f>
        <v>-9.343000000000018</v>
      </c>
      <c r="DG9" s="52">
        <f aca="true" t="shared" si="26" ref="DG9:DG21">DA9/DE9*100-100</f>
        <v>-2.2684176918613304</v>
      </c>
      <c r="DH9" s="54">
        <v>8.938</v>
      </c>
      <c r="DI9" s="6"/>
      <c r="DJ9" s="6"/>
      <c r="DK9" s="9"/>
      <c r="DL9" s="54">
        <v>9.107</v>
      </c>
      <c r="DM9" s="35">
        <f aca="true" t="shared" si="27" ref="DM9:DM21">DH9-DL9</f>
        <v>-0.1689999999999987</v>
      </c>
      <c r="DN9" s="52">
        <f aca="true" t="shared" si="28" ref="DN9:DN17">DH9/DL9*100-100</f>
        <v>-1.8557153837707006</v>
      </c>
      <c r="DO9" s="39">
        <v>25.794</v>
      </c>
      <c r="DP9" s="6"/>
      <c r="DQ9" s="6"/>
      <c r="DR9" s="9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9"/>
      <c r="EE9" s="39">
        <v>10.6</v>
      </c>
      <c r="EF9" s="41">
        <f aca="true" t="shared" si="29" ref="EF9:EF21">DO9-EE9</f>
        <v>15.194</v>
      </c>
      <c r="EG9" s="52">
        <f aca="true" t="shared" si="30" ref="EG9:EG21">DO9/EE9*100-100</f>
        <v>143.33962264150944</v>
      </c>
      <c r="EH9" s="39"/>
      <c r="EI9" s="38"/>
      <c r="EJ9" s="38">
        <f>EI9-EH9</f>
        <v>0</v>
      </c>
      <c r="EK9" s="52"/>
      <c r="EL9" s="52"/>
      <c r="EM9" s="41">
        <f t="shared" si="1"/>
        <v>54.05899999999999</v>
      </c>
      <c r="EN9" s="41">
        <f>ES9+EW9+FC9</f>
        <v>285.106</v>
      </c>
      <c r="EO9" s="41">
        <f aca="true" t="shared" si="31" ref="EO9:EO21">EM9-EN9</f>
        <v>-231.047</v>
      </c>
      <c r="EP9" s="52">
        <f aca="true" t="shared" si="32" ref="EP9:EP21">EM9/EN9*100-100</f>
        <v>-81.03898199266239</v>
      </c>
      <c r="EQ9" s="9"/>
      <c r="ER9" s="39">
        <v>8.645</v>
      </c>
      <c r="ES9" s="39">
        <v>18.23</v>
      </c>
      <c r="ET9" s="35">
        <f aca="true" t="shared" si="33" ref="ET9:ET21">ER9-ES9</f>
        <v>-9.585</v>
      </c>
      <c r="EU9" s="52">
        <f aca="true" t="shared" si="34" ref="EU9:EU21">ER9/ES9*100-100</f>
        <v>-52.578167855183764</v>
      </c>
      <c r="EV9" s="39">
        <f>12.215+11.185+20.736</f>
        <v>44.135999999999996</v>
      </c>
      <c r="EW9" s="39">
        <v>182.43</v>
      </c>
      <c r="EX9" s="41">
        <f aca="true" t="shared" si="35" ref="EX9:EX21">EV9-EW9</f>
        <v>-138.294</v>
      </c>
      <c r="EY9" s="52">
        <f aca="true" t="shared" si="36" ref="EY9:EY21">EV9/EW9*100-100</f>
        <v>-75.80661075481007</v>
      </c>
      <c r="EZ9" s="38">
        <v>1.278</v>
      </c>
      <c r="FA9" s="6"/>
      <c r="FB9" s="6"/>
      <c r="FC9" s="39">
        <v>84.446</v>
      </c>
      <c r="FD9" s="41">
        <f>EZ9-FC9</f>
        <v>-83.16799999999999</v>
      </c>
      <c r="FE9" s="52">
        <f>EZ9/FC9*100-100</f>
        <v>-98.48660682566374</v>
      </c>
      <c r="FF9" s="52"/>
      <c r="FG9" s="52"/>
      <c r="FH9" s="57"/>
      <c r="FI9" s="38"/>
      <c r="FJ9" s="9"/>
      <c r="FK9" s="9"/>
      <c r="FL9" s="122"/>
      <c r="FM9" s="123"/>
      <c r="FN9" s="127"/>
      <c r="FO9" s="128"/>
      <c r="FP9" s="127"/>
      <c r="FQ9" s="144"/>
      <c r="FR9" s="38"/>
      <c r="FS9" s="33"/>
      <c r="FT9" s="51"/>
      <c r="FU9" s="58"/>
      <c r="FV9" s="3"/>
      <c r="FW9" s="24"/>
      <c r="FX9" s="23"/>
      <c r="FY9" s="58"/>
      <c r="FZ9" s="38"/>
      <c r="GA9" s="24"/>
      <c r="GB9" s="3"/>
      <c r="GC9" s="85"/>
      <c r="GD9" s="83"/>
      <c r="GE9" s="9"/>
      <c r="GF9" s="89"/>
      <c r="GG9" s="63"/>
      <c r="GH9" s="38"/>
      <c r="GI9" s="33"/>
      <c r="GJ9" s="9"/>
      <c r="GK9" s="52"/>
      <c r="GL9" s="52"/>
      <c r="GM9" s="41">
        <f aca="true" t="shared" si="37" ref="GM9:GM17">B9+AT9+BE9+EM9+FH9+FL9+FY9+GC9+GG9+AH9+AJ9+AG9+AL9+AP9+AF9</f>
        <v>1261.369</v>
      </c>
      <c r="GN9" s="41">
        <f aca="true" t="shared" si="38" ref="GN9:GN17">C9+BB9+BF9+EN9++FI9+FM9+FZ9+GD9+GH9+AK9+AI9+AG9+GL9+AM9+AQ9</f>
        <v>1293.2730000000001</v>
      </c>
      <c r="GO9" s="38">
        <f aca="true" t="shared" si="39" ref="GO9:GO21">GM9-GN9</f>
        <v>-31.904000000000224</v>
      </c>
      <c r="GP9" s="47">
        <f aca="true" t="shared" si="40" ref="GP9:GP21">GM9/GN9*100-100</f>
        <v>-2.4669192042206305</v>
      </c>
      <c r="GQ9" s="37"/>
    </row>
    <row r="10" spans="1:199" ht="23.25" customHeight="1">
      <c r="A10" s="190" t="s">
        <v>52</v>
      </c>
      <c r="B10" s="112">
        <f t="shared" si="2"/>
        <v>259.311</v>
      </c>
      <c r="C10" s="41">
        <f>G10+K10+O10+Y10+AC10</f>
        <v>169.341</v>
      </c>
      <c r="D10" s="38">
        <f t="shared" si="0"/>
        <v>89.96999999999997</v>
      </c>
      <c r="E10" s="9">
        <f>B10/C10*100-100</f>
        <v>53.129484295002385</v>
      </c>
      <c r="F10" s="39">
        <f>16.88+50.408+16.143+53.906+53.458+52.738</f>
        <v>243.533</v>
      </c>
      <c r="G10" s="39">
        <v>123.699</v>
      </c>
      <c r="H10" s="70">
        <f>F10-G10</f>
        <v>119.83399999999999</v>
      </c>
      <c r="I10" s="52">
        <f>F10/G10*100-100</f>
        <v>96.87547999579624</v>
      </c>
      <c r="J10" s="16"/>
      <c r="K10" s="16"/>
      <c r="L10" s="16"/>
      <c r="M10" s="6"/>
      <c r="N10" s="38">
        <v>14.878</v>
      </c>
      <c r="O10" s="38">
        <v>41.76</v>
      </c>
      <c r="P10" s="38">
        <f>N10-O10</f>
        <v>-26.881999999999998</v>
      </c>
      <c r="Q10" s="16"/>
      <c r="R10" s="16"/>
      <c r="S10" s="16"/>
      <c r="T10" s="35">
        <f t="shared" si="6"/>
        <v>-64.37260536398466</v>
      </c>
      <c r="U10" s="38">
        <v>0.9</v>
      </c>
      <c r="V10" s="6"/>
      <c r="W10" s="6"/>
      <c r="X10" s="6"/>
      <c r="Y10" s="38">
        <v>3.882</v>
      </c>
      <c r="Z10" s="104">
        <f t="shared" si="7"/>
        <v>-2.982</v>
      </c>
      <c r="AA10" s="2">
        <f>U10/Y10*100-100</f>
        <v>-76.8160741885626</v>
      </c>
      <c r="AB10" s="99"/>
      <c r="AC10" s="99"/>
      <c r="AD10" s="99"/>
      <c r="AE10" s="14"/>
      <c r="AF10" s="136"/>
      <c r="AG10" s="99"/>
      <c r="AH10" s="6"/>
      <c r="AI10" s="6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01">
        <v>1.391</v>
      </c>
      <c r="AU10" s="6"/>
      <c r="AV10" s="6"/>
      <c r="AW10" s="9"/>
      <c r="AX10" s="6"/>
      <c r="AY10" s="6"/>
      <c r="AZ10" s="15"/>
      <c r="BA10" s="9"/>
      <c r="BB10" s="101">
        <v>1.814</v>
      </c>
      <c r="BC10" s="41">
        <f>AT10-BB10</f>
        <v>-0.42300000000000004</v>
      </c>
      <c r="BD10" s="52">
        <f>AT10/BB10*100-100</f>
        <v>-23.318632855567813</v>
      </c>
      <c r="BE10" s="41">
        <f t="shared" si="10"/>
        <v>92.79700000000001</v>
      </c>
      <c r="BF10" s="41">
        <f t="shared" si="11"/>
        <v>89.282</v>
      </c>
      <c r="BG10" s="52">
        <f>BE10-BF10</f>
        <v>3.515000000000015</v>
      </c>
      <c r="BH10" s="52">
        <f>BE10/BF10*100-100</f>
        <v>3.9369637776931654</v>
      </c>
      <c r="BI10" s="41">
        <f t="shared" si="14"/>
        <v>0</v>
      </c>
      <c r="BJ10" s="52">
        <f t="shared" si="15"/>
        <v>0</v>
      </c>
      <c r="BK10" s="52">
        <f t="shared" si="16"/>
        <v>0</v>
      </c>
      <c r="BL10" s="52"/>
      <c r="BM10" s="6"/>
      <c r="BN10" s="6"/>
      <c r="BO10" s="6"/>
      <c r="BP10" s="9"/>
      <c r="BQ10" s="6"/>
      <c r="BR10" s="41"/>
      <c r="BS10" s="52"/>
      <c r="BT10" s="54"/>
      <c r="BU10" s="2"/>
      <c r="BV10" s="2"/>
      <c r="BW10" s="3"/>
      <c r="BX10" s="38"/>
      <c r="BY10" s="50">
        <f t="shared" si="17"/>
        <v>0</v>
      </c>
      <c r="BZ10" s="3"/>
      <c r="CA10" s="52"/>
      <c r="CB10" s="39"/>
      <c r="CC10" s="6"/>
      <c r="CD10" s="6"/>
      <c r="CE10" s="9"/>
      <c r="CF10" s="39"/>
      <c r="CG10" s="41"/>
      <c r="CH10" s="52"/>
      <c r="CI10" s="54"/>
      <c r="CJ10" s="6"/>
      <c r="CK10" s="6"/>
      <c r="CL10" s="6"/>
      <c r="CM10" s="54"/>
      <c r="CN10" s="71"/>
      <c r="CO10" s="52"/>
      <c r="CP10" s="52">
        <f t="shared" si="19"/>
        <v>86.54700000000001</v>
      </c>
      <c r="CQ10" s="52">
        <f t="shared" si="20"/>
        <v>89.282</v>
      </c>
      <c r="CR10" s="52">
        <f t="shared" si="21"/>
        <v>-2.734999999999985</v>
      </c>
      <c r="CS10" s="52">
        <f t="shared" si="22"/>
        <v>-3.0633274344212538</v>
      </c>
      <c r="CT10" s="54">
        <v>0.899</v>
      </c>
      <c r="CU10" s="6"/>
      <c r="CV10" s="6"/>
      <c r="CW10" s="9"/>
      <c r="CX10" s="54">
        <v>0.178</v>
      </c>
      <c r="CY10" s="41">
        <f t="shared" si="23"/>
        <v>0.7210000000000001</v>
      </c>
      <c r="CZ10" s="52">
        <f t="shared" si="24"/>
        <v>405.05617977528095</v>
      </c>
      <c r="DA10" s="54">
        <v>77.287</v>
      </c>
      <c r="DB10" s="6"/>
      <c r="DC10" s="6"/>
      <c r="DD10" s="9"/>
      <c r="DE10" s="54">
        <v>77.178</v>
      </c>
      <c r="DF10" s="41">
        <f t="shared" si="25"/>
        <v>0.10900000000000887</v>
      </c>
      <c r="DG10" s="52">
        <f t="shared" si="26"/>
        <v>0.14123195729354165</v>
      </c>
      <c r="DH10" s="54">
        <v>1.87</v>
      </c>
      <c r="DI10" s="6"/>
      <c r="DJ10" s="6"/>
      <c r="DK10" s="9"/>
      <c r="DL10" s="54">
        <v>1.47</v>
      </c>
      <c r="DM10" s="35">
        <f t="shared" si="27"/>
        <v>0.40000000000000013</v>
      </c>
      <c r="DN10" s="52">
        <f t="shared" si="28"/>
        <v>27.210884353741505</v>
      </c>
      <c r="DO10" s="39">
        <v>6.491</v>
      </c>
      <c r="DP10" s="6"/>
      <c r="DQ10" s="6"/>
      <c r="DR10" s="9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9"/>
      <c r="EE10" s="39">
        <v>10.456</v>
      </c>
      <c r="EF10" s="41">
        <f t="shared" si="29"/>
        <v>-3.965</v>
      </c>
      <c r="EG10" s="52">
        <f t="shared" si="30"/>
        <v>-37.92081101759756</v>
      </c>
      <c r="EH10" s="39">
        <v>6.25</v>
      </c>
      <c r="EI10" s="38"/>
      <c r="EJ10" s="38">
        <f>EH10-EI10</f>
        <v>6.25</v>
      </c>
      <c r="EK10" s="52">
        <f>EI10/EH10*100-100</f>
        <v>-100</v>
      </c>
      <c r="EL10" s="52"/>
      <c r="EM10" s="41">
        <f t="shared" si="1"/>
        <v>104.22999999999999</v>
      </c>
      <c r="EN10" s="41">
        <f>ES10+EW10+FC10</f>
        <v>99.59</v>
      </c>
      <c r="EO10" s="41">
        <f>EM10-EN10</f>
        <v>4.639999999999986</v>
      </c>
      <c r="EP10" s="52">
        <f>EM10/EN10*100-100</f>
        <v>4.6591023195099694</v>
      </c>
      <c r="EQ10" s="9"/>
      <c r="ER10" s="54">
        <v>0</v>
      </c>
      <c r="ES10" s="54"/>
      <c r="ET10" s="35">
        <f t="shared" si="33"/>
        <v>0</v>
      </c>
      <c r="EU10" s="52"/>
      <c r="EV10" s="39">
        <f>20.437+15.388+8.591</f>
        <v>44.416000000000004</v>
      </c>
      <c r="EW10" s="39">
        <v>36.883</v>
      </c>
      <c r="EX10" s="41">
        <f>EV10-EW10</f>
        <v>7.533000000000001</v>
      </c>
      <c r="EY10" s="52">
        <f>EV10/EW10*100-100</f>
        <v>20.42404359732126</v>
      </c>
      <c r="EZ10" s="39">
        <f>51.916+7.898</f>
        <v>59.81399999999999</v>
      </c>
      <c r="FA10" s="6"/>
      <c r="FB10" s="6"/>
      <c r="FC10" s="39">
        <v>62.707</v>
      </c>
      <c r="FD10" s="41">
        <f>EZ10-FC10</f>
        <v>-2.893000000000008</v>
      </c>
      <c r="FE10" s="52">
        <f>EZ10/FC10*100-100</f>
        <v>-4.613520021688174</v>
      </c>
      <c r="FF10" s="52"/>
      <c r="FG10" s="52"/>
      <c r="FH10" s="57"/>
      <c r="FI10" s="38"/>
      <c r="FJ10" s="9"/>
      <c r="FK10" s="9"/>
      <c r="FL10" s="122"/>
      <c r="FM10" s="123"/>
      <c r="FN10" s="127"/>
      <c r="FO10" s="128"/>
      <c r="FP10" s="127"/>
      <c r="FQ10" s="145"/>
      <c r="FR10" s="38"/>
      <c r="FS10" s="9"/>
      <c r="FT10" s="9"/>
      <c r="FU10" s="135"/>
      <c r="FV10" s="3"/>
      <c r="FW10" s="3"/>
      <c r="FX10" s="3"/>
      <c r="FY10" s="135"/>
      <c r="FZ10" s="38"/>
      <c r="GA10" s="3"/>
      <c r="GB10" s="3"/>
      <c r="GC10" s="135"/>
      <c r="GD10" s="83"/>
      <c r="GE10" s="9"/>
      <c r="GF10" s="3"/>
      <c r="GG10" s="135"/>
      <c r="GH10" s="38"/>
      <c r="GI10" s="9"/>
      <c r="GJ10" s="9"/>
      <c r="GK10" s="9"/>
      <c r="GL10" s="9"/>
      <c r="GM10" s="41">
        <f t="shared" si="37"/>
        <v>457.72900000000004</v>
      </c>
      <c r="GN10" s="41">
        <f t="shared" si="38"/>
        <v>360.02700000000004</v>
      </c>
      <c r="GO10" s="38">
        <f>GM10-GN10</f>
        <v>97.702</v>
      </c>
      <c r="GP10" s="47">
        <f>GM10/GN10*100-100</f>
        <v>27.13740913875904</v>
      </c>
      <c r="GQ10" s="37"/>
    </row>
    <row r="11" spans="1:199" ht="22.5" customHeight="1">
      <c r="A11" s="190" t="s">
        <v>46</v>
      </c>
      <c r="B11" s="112">
        <f t="shared" si="2"/>
        <v>127.12599999999999</v>
      </c>
      <c r="C11" s="41">
        <f aca="true" t="shared" si="41" ref="C11:C17">G11+K11+O11+Y11+AC11</f>
        <v>83.075</v>
      </c>
      <c r="D11" s="38">
        <f t="shared" si="0"/>
        <v>44.05099999999999</v>
      </c>
      <c r="E11" s="27">
        <f aca="true" t="shared" si="42" ref="E11:E21">B11/C11*100-100</f>
        <v>53.02557929581701</v>
      </c>
      <c r="F11" s="39">
        <f>4.329+28.636+3.675+31.561+3.675+30.663</f>
        <v>102.53899999999999</v>
      </c>
      <c r="G11" s="39">
        <v>61.155</v>
      </c>
      <c r="H11" s="70">
        <f t="shared" si="3"/>
        <v>41.383999999999986</v>
      </c>
      <c r="I11" s="52">
        <f t="shared" si="4"/>
        <v>67.6706728803859</v>
      </c>
      <c r="J11" s="16"/>
      <c r="K11" s="16"/>
      <c r="L11" s="16"/>
      <c r="M11" s="6"/>
      <c r="N11" s="38">
        <v>17.248</v>
      </c>
      <c r="O11" s="38">
        <v>21.92</v>
      </c>
      <c r="P11" s="38">
        <f t="shared" si="5"/>
        <v>-4.672000000000001</v>
      </c>
      <c r="Q11" s="16"/>
      <c r="R11" s="16"/>
      <c r="S11" s="16">
        <f aca="true" t="shared" si="43" ref="S11:S20">IF(P11=0,0,Q11/P11*100)</f>
        <v>0</v>
      </c>
      <c r="T11" s="35">
        <f t="shared" si="6"/>
        <v>-21.31386861313868</v>
      </c>
      <c r="U11" s="38">
        <v>7.339</v>
      </c>
      <c r="V11" s="6"/>
      <c r="W11" s="6"/>
      <c r="X11" s="6"/>
      <c r="Y11" s="38">
        <v>0</v>
      </c>
      <c r="Z11" s="104">
        <f t="shared" si="7"/>
        <v>7.339</v>
      </c>
      <c r="AA11" s="2"/>
      <c r="AB11" s="99"/>
      <c r="AC11" s="99"/>
      <c r="AD11" s="99"/>
      <c r="AE11" s="99"/>
      <c r="AF11" s="6"/>
      <c r="AG11" s="136"/>
      <c r="AH11" s="6"/>
      <c r="AI11" s="6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01">
        <f>5.386+0.891</f>
        <v>6.277</v>
      </c>
      <c r="AU11" s="6"/>
      <c r="AV11" s="6"/>
      <c r="AW11" s="6"/>
      <c r="AX11" s="6"/>
      <c r="AY11" s="6"/>
      <c r="AZ11" s="6"/>
      <c r="BA11" s="9"/>
      <c r="BB11" s="101">
        <v>7.918</v>
      </c>
      <c r="BC11" s="41">
        <f t="shared" si="8"/>
        <v>-1.641</v>
      </c>
      <c r="BD11" s="52">
        <f t="shared" si="9"/>
        <v>-20.724930538014647</v>
      </c>
      <c r="BE11" s="41">
        <f t="shared" si="10"/>
        <v>53.934</v>
      </c>
      <c r="BF11" s="41">
        <f t="shared" si="11"/>
        <v>175.132</v>
      </c>
      <c r="BG11" s="52">
        <f t="shared" si="12"/>
        <v>-121.19800000000001</v>
      </c>
      <c r="BH11" s="52">
        <f t="shared" si="13"/>
        <v>-69.20380056186191</v>
      </c>
      <c r="BI11" s="41">
        <f t="shared" si="14"/>
        <v>0</v>
      </c>
      <c r="BJ11" s="52">
        <f t="shared" si="15"/>
        <v>1.596</v>
      </c>
      <c r="BK11" s="52">
        <f t="shared" si="16"/>
        <v>-1.596</v>
      </c>
      <c r="BL11" s="52">
        <f aca="true" t="shared" si="44" ref="BL11:BL21">BI11/BJ11*100-100</f>
        <v>-100</v>
      </c>
      <c r="BM11" s="6"/>
      <c r="BN11" s="6"/>
      <c r="BO11" s="6"/>
      <c r="BP11" s="6"/>
      <c r="BQ11" s="6"/>
      <c r="BR11" s="41"/>
      <c r="BS11" s="52"/>
      <c r="BT11" s="54"/>
      <c r="BU11" s="2"/>
      <c r="BV11" s="2"/>
      <c r="BW11" s="2"/>
      <c r="BX11" s="38"/>
      <c r="BY11" s="50">
        <f t="shared" si="17"/>
        <v>0</v>
      </c>
      <c r="BZ11" s="2"/>
      <c r="CA11" s="52"/>
      <c r="CB11" s="39"/>
      <c r="CC11" s="6"/>
      <c r="CD11" s="6"/>
      <c r="CE11" s="6"/>
      <c r="CF11" s="39"/>
      <c r="CG11" s="41"/>
      <c r="CH11" s="52"/>
      <c r="CI11" s="54"/>
      <c r="CJ11" s="6"/>
      <c r="CK11" s="6"/>
      <c r="CL11" s="9"/>
      <c r="CM11" s="54">
        <v>1.596</v>
      </c>
      <c r="CN11" s="71"/>
      <c r="CO11" s="52">
        <f t="shared" si="18"/>
        <v>-100</v>
      </c>
      <c r="CP11" s="52">
        <f t="shared" si="19"/>
        <v>53.934</v>
      </c>
      <c r="CQ11" s="52">
        <f t="shared" si="20"/>
        <v>173.536</v>
      </c>
      <c r="CR11" s="52">
        <f t="shared" si="21"/>
        <v>-119.602</v>
      </c>
      <c r="CS11" s="52">
        <f t="shared" si="22"/>
        <v>-68.92056979531625</v>
      </c>
      <c r="CT11" s="54">
        <v>0.882</v>
      </c>
      <c r="CU11" s="6"/>
      <c r="CV11" s="6"/>
      <c r="CW11" s="9"/>
      <c r="CX11" s="54">
        <v>2.226</v>
      </c>
      <c r="CY11" s="41">
        <f t="shared" si="23"/>
        <v>-1.3439999999999999</v>
      </c>
      <c r="CZ11" s="52">
        <f t="shared" si="24"/>
        <v>-60.37735849056604</v>
      </c>
      <c r="DA11" s="54">
        <v>42.728</v>
      </c>
      <c r="DB11" s="6"/>
      <c r="DC11" s="6"/>
      <c r="DD11" s="9"/>
      <c r="DE11" s="54">
        <v>107.996</v>
      </c>
      <c r="DF11" s="41">
        <f t="shared" si="25"/>
        <v>-65.268</v>
      </c>
      <c r="DG11" s="52">
        <f t="shared" si="26"/>
        <v>-60.43557168784029</v>
      </c>
      <c r="DH11" s="54">
        <v>1.17</v>
      </c>
      <c r="DI11" s="6"/>
      <c r="DJ11" s="6"/>
      <c r="DK11" s="9"/>
      <c r="DL11" s="39">
        <v>5.033</v>
      </c>
      <c r="DM11" s="35">
        <f t="shared" si="27"/>
        <v>-3.8630000000000004</v>
      </c>
      <c r="DN11" s="52">
        <f t="shared" si="28"/>
        <v>-76.75342737929665</v>
      </c>
      <c r="DO11" s="39">
        <v>9.154</v>
      </c>
      <c r="DP11" s="6"/>
      <c r="DQ11" s="6"/>
      <c r="DR11" s="9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9"/>
      <c r="EE11" s="39">
        <v>58.281</v>
      </c>
      <c r="EF11" s="41">
        <f t="shared" si="29"/>
        <v>-49.126999999999995</v>
      </c>
      <c r="EG11" s="52">
        <f t="shared" si="30"/>
        <v>-84.29333745131346</v>
      </c>
      <c r="EH11" s="39"/>
      <c r="EI11" s="9"/>
      <c r="EJ11" s="9"/>
      <c r="EK11" s="52"/>
      <c r="EL11" s="52"/>
      <c r="EM11" s="41">
        <f t="shared" si="1"/>
        <v>62.414</v>
      </c>
      <c r="EN11" s="41">
        <f aca="true" t="shared" si="45" ref="EN11:EN17">ES11+EW11+FC11</f>
        <v>45.147</v>
      </c>
      <c r="EO11" s="41">
        <f t="shared" si="31"/>
        <v>17.267000000000003</v>
      </c>
      <c r="EP11" s="52">
        <f t="shared" si="32"/>
        <v>38.24617361064966</v>
      </c>
      <c r="EQ11" s="9"/>
      <c r="ER11" s="54">
        <v>5.279</v>
      </c>
      <c r="ES11" s="54">
        <v>18.497</v>
      </c>
      <c r="ET11" s="35">
        <f t="shared" si="33"/>
        <v>-13.218</v>
      </c>
      <c r="EU11" s="52">
        <f t="shared" si="34"/>
        <v>-71.46023679515598</v>
      </c>
      <c r="EV11" s="39">
        <f>3.8+12.868+1.2</f>
        <v>17.868</v>
      </c>
      <c r="EW11" s="39">
        <v>4.942</v>
      </c>
      <c r="EX11" s="41">
        <f t="shared" si="35"/>
        <v>12.925999999999998</v>
      </c>
      <c r="EY11" s="52">
        <f t="shared" si="36"/>
        <v>261.55402670983403</v>
      </c>
      <c r="EZ11" s="39">
        <f>39.267</f>
        <v>39.267</v>
      </c>
      <c r="FA11" s="6"/>
      <c r="FB11" s="6"/>
      <c r="FC11" s="39">
        <v>21.708</v>
      </c>
      <c r="FD11" s="41">
        <f aca="true" t="shared" si="46" ref="FD11:FD17">EZ11-FC11</f>
        <v>17.559000000000005</v>
      </c>
      <c r="FE11" s="52">
        <f aca="true" t="shared" si="47" ref="FE11:FE17">EZ11/FC11*100-100</f>
        <v>80.88723051409622</v>
      </c>
      <c r="FF11" s="52"/>
      <c r="FG11" s="52"/>
      <c r="FH11" s="57"/>
      <c r="FI11" s="9"/>
      <c r="FJ11" s="9"/>
      <c r="FK11" s="9"/>
      <c r="FL11" s="122"/>
      <c r="FM11" s="123"/>
      <c r="FN11" s="125"/>
      <c r="FO11" s="126"/>
      <c r="FP11" s="127"/>
      <c r="FQ11" s="146"/>
      <c r="FR11" s="40"/>
      <c r="FS11" s="28"/>
      <c r="FT11" s="29"/>
      <c r="FU11" s="59"/>
      <c r="FV11" s="40"/>
      <c r="FW11" s="20"/>
      <c r="FX11" s="22"/>
      <c r="FY11" s="59"/>
      <c r="FZ11" s="40"/>
      <c r="GA11" s="20"/>
      <c r="GB11" s="10"/>
      <c r="GC11" s="64"/>
      <c r="GD11" s="86"/>
      <c r="GE11" s="52"/>
      <c r="GF11" s="88"/>
      <c r="GG11" s="64"/>
      <c r="GH11" s="31"/>
      <c r="GI11" s="28"/>
      <c r="GJ11" s="27"/>
      <c r="GK11" s="9"/>
      <c r="GL11" s="9"/>
      <c r="GM11" s="41">
        <f t="shared" si="37"/>
        <v>249.75099999999998</v>
      </c>
      <c r="GN11" s="41">
        <f t="shared" si="38"/>
        <v>311.272</v>
      </c>
      <c r="GO11" s="42">
        <f t="shared" si="39"/>
        <v>-61.521000000000015</v>
      </c>
      <c r="GP11" s="47">
        <f t="shared" si="40"/>
        <v>-19.764386131743308</v>
      </c>
      <c r="GQ11" s="37"/>
    </row>
    <row r="12" spans="1:199" ht="24.75" customHeight="1">
      <c r="A12" s="190" t="s">
        <v>39</v>
      </c>
      <c r="B12" s="112">
        <f t="shared" si="2"/>
        <v>221.365</v>
      </c>
      <c r="C12" s="41">
        <f t="shared" si="41"/>
        <v>190.973</v>
      </c>
      <c r="D12" s="38">
        <f t="shared" si="0"/>
        <v>30.391999999999996</v>
      </c>
      <c r="E12" s="9">
        <f t="shared" si="42"/>
        <v>15.914291549067144</v>
      </c>
      <c r="F12" s="39">
        <f>27.731+32.267+13.921+36.724+17.81+36.816</f>
        <v>165.269</v>
      </c>
      <c r="G12" s="39">
        <v>134.09</v>
      </c>
      <c r="H12" s="70">
        <f t="shared" si="3"/>
        <v>31.179000000000002</v>
      </c>
      <c r="I12" s="52">
        <f t="shared" si="4"/>
        <v>23.252293235886356</v>
      </c>
      <c r="J12" s="16"/>
      <c r="K12" s="16"/>
      <c r="L12" s="16"/>
      <c r="M12" s="6"/>
      <c r="N12" s="38">
        <v>51.209</v>
      </c>
      <c r="O12" s="38">
        <v>49.068</v>
      </c>
      <c r="P12" s="38">
        <f t="shared" si="5"/>
        <v>2.1410000000000053</v>
      </c>
      <c r="Q12" s="16"/>
      <c r="R12" s="16"/>
      <c r="S12" s="16">
        <f t="shared" si="43"/>
        <v>0</v>
      </c>
      <c r="T12" s="35">
        <f t="shared" si="6"/>
        <v>4.363332518138094</v>
      </c>
      <c r="U12" s="38">
        <v>4.887</v>
      </c>
      <c r="V12" s="6"/>
      <c r="W12" s="6"/>
      <c r="X12" s="6"/>
      <c r="Y12" s="38">
        <v>7.815</v>
      </c>
      <c r="Z12" s="104">
        <f t="shared" si="7"/>
        <v>-2.928000000000001</v>
      </c>
      <c r="AA12" s="2">
        <f>U12/Y12*100-100</f>
        <v>-37.46641074856048</v>
      </c>
      <c r="AB12" s="99"/>
      <c r="AC12" s="99"/>
      <c r="AD12" s="99"/>
      <c r="AE12" s="14"/>
      <c r="AF12" s="136"/>
      <c r="AG12" s="99"/>
      <c r="AH12" s="6"/>
      <c r="AI12" s="6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01">
        <v>2.26</v>
      </c>
      <c r="AU12" s="6"/>
      <c r="AV12" s="6"/>
      <c r="AW12" s="9"/>
      <c r="AX12" s="6"/>
      <c r="AY12" s="6"/>
      <c r="AZ12" s="15"/>
      <c r="BA12" s="9"/>
      <c r="BB12" s="101">
        <v>1.988</v>
      </c>
      <c r="BC12" s="41">
        <f t="shared" si="8"/>
        <v>0.2719999999999998</v>
      </c>
      <c r="BD12" s="52">
        <f t="shared" si="9"/>
        <v>13.682092555331991</v>
      </c>
      <c r="BE12" s="41">
        <f t="shared" si="10"/>
        <v>184.43599999999998</v>
      </c>
      <c r="BF12" s="41">
        <f t="shared" si="11"/>
        <v>159.76699999999997</v>
      </c>
      <c r="BG12" s="52">
        <f t="shared" si="12"/>
        <v>24.66900000000001</v>
      </c>
      <c r="BH12" s="52">
        <f t="shared" si="13"/>
        <v>15.44061038887881</v>
      </c>
      <c r="BI12" s="41">
        <f t="shared" si="14"/>
        <v>0</v>
      </c>
      <c r="BJ12" s="52">
        <f t="shared" si="15"/>
        <v>1.051</v>
      </c>
      <c r="BK12" s="52">
        <f t="shared" si="16"/>
        <v>-1.051</v>
      </c>
      <c r="BL12" s="52">
        <f t="shared" si="44"/>
        <v>-100</v>
      </c>
      <c r="BM12" s="6"/>
      <c r="BN12" s="6"/>
      <c r="BO12" s="6"/>
      <c r="BP12" s="6"/>
      <c r="BQ12" s="6"/>
      <c r="BR12" s="41"/>
      <c r="BS12" s="52"/>
      <c r="BT12" s="39"/>
      <c r="BU12" s="2"/>
      <c r="BV12" s="2"/>
      <c r="BW12" s="2"/>
      <c r="BX12" s="38"/>
      <c r="BY12" s="50">
        <f t="shared" si="17"/>
        <v>0</v>
      </c>
      <c r="BZ12" s="2"/>
      <c r="CA12" s="52"/>
      <c r="CB12" s="39"/>
      <c r="CC12" s="6"/>
      <c r="CD12" s="6"/>
      <c r="CE12" s="6"/>
      <c r="CF12" s="38"/>
      <c r="CG12" s="41"/>
      <c r="CH12" s="52"/>
      <c r="CI12" s="54"/>
      <c r="CJ12" s="6"/>
      <c r="CK12" s="6"/>
      <c r="CL12" s="9"/>
      <c r="CM12" s="54">
        <v>1.051</v>
      </c>
      <c r="CN12" s="71">
        <f aca="true" t="shared" si="48" ref="CN12:CN21">CI12-CM12</f>
        <v>-1.051</v>
      </c>
      <c r="CO12" s="52">
        <f t="shared" si="18"/>
        <v>-100</v>
      </c>
      <c r="CP12" s="52">
        <f t="shared" si="19"/>
        <v>184.43599999999998</v>
      </c>
      <c r="CQ12" s="52">
        <f t="shared" si="20"/>
        <v>158.71599999999998</v>
      </c>
      <c r="CR12" s="52">
        <f t="shared" si="21"/>
        <v>25.72</v>
      </c>
      <c r="CS12" s="52">
        <f t="shared" si="22"/>
        <v>16.205045490057728</v>
      </c>
      <c r="CT12" s="54">
        <v>3.659</v>
      </c>
      <c r="CU12" s="6"/>
      <c r="CV12" s="6"/>
      <c r="CW12" s="9"/>
      <c r="CX12" s="54">
        <v>5.504</v>
      </c>
      <c r="CY12" s="41">
        <f t="shared" si="23"/>
        <v>-1.8449999999999998</v>
      </c>
      <c r="CZ12" s="52">
        <f t="shared" si="24"/>
        <v>-33.52107558139534</v>
      </c>
      <c r="DA12" s="54">
        <v>180.32</v>
      </c>
      <c r="DB12" s="6"/>
      <c r="DC12" s="6"/>
      <c r="DD12" s="9"/>
      <c r="DE12" s="54">
        <v>136.482</v>
      </c>
      <c r="DF12" s="41">
        <f t="shared" si="25"/>
        <v>43.837999999999994</v>
      </c>
      <c r="DG12" s="52">
        <f t="shared" si="26"/>
        <v>32.119986518368705</v>
      </c>
      <c r="DH12" s="39">
        <v>0</v>
      </c>
      <c r="DI12" s="6"/>
      <c r="DJ12" s="6"/>
      <c r="DK12" s="9"/>
      <c r="DL12" s="39">
        <v>13.14</v>
      </c>
      <c r="DM12" s="35">
        <f t="shared" si="27"/>
        <v>-13.14</v>
      </c>
      <c r="DN12" s="52">
        <f t="shared" si="28"/>
        <v>-100</v>
      </c>
      <c r="DO12" s="39">
        <v>0.457</v>
      </c>
      <c r="DP12" s="6"/>
      <c r="DQ12" s="6"/>
      <c r="DR12" s="9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9"/>
      <c r="EE12" s="39">
        <v>3.59</v>
      </c>
      <c r="EF12" s="41">
        <f t="shared" si="29"/>
        <v>-3.133</v>
      </c>
      <c r="EG12" s="52">
        <f t="shared" si="30"/>
        <v>-87.27019498607243</v>
      </c>
      <c r="EH12" s="39"/>
      <c r="EI12" s="9"/>
      <c r="EJ12" s="9"/>
      <c r="EK12" s="52"/>
      <c r="EL12" s="52"/>
      <c r="EM12" s="41">
        <f t="shared" si="1"/>
        <v>146.118</v>
      </c>
      <c r="EN12" s="41">
        <f t="shared" si="45"/>
        <v>138.63500000000002</v>
      </c>
      <c r="EO12" s="41">
        <f t="shared" si="31"/>
        <v>7.482999999999976</v>
      </c>
      <c r="EP12" s="52">
        <f t="shared" si="32"/>
        <v>5.397626861903547</v>
      </c>
      <c r="EQ12" s="9"/>
      <c r="ER12" s="54">
        <v>0</v>
      </c>
      <c r="ES12" s="39"/>
      <c r="ET12" s="35">
        <f t="shared" si="33"/>
        <v>0</v>
      </c>
      <c r="EU12" s="52"/>
      <c r="EV12" s="39">
        <f>6.392+2.24+3.54</f>
        <v>12.172</v>
      </c>
      <c r="EW12" s="39">
        <v>7.883</v>
      </c>
      <c r="EX12" s="41">
        <f t="shared" si="35"/>
        <v>4.289000000000001</v>
      </c>
      <c r="EY12" s="52">
        <f t="shared" si="36"/>
        <v>54.40822022072814</v>
      </c>
      <c r="EZ12" s="39">
        <f>126.454+7.492</f>
        <v>133.946</v>
      </c>
      <c r="FA12" s="6"/>
      <c r="FB12" s="6"/>
      <c r="FC12" s="38">
        <v>130.752</v>
      </c>
      <c r="FD12" s="41">
        <f t="shared" si="46"/>
        <v>3.1939999999999884</v>
      </c>
      <c r="FE12" s="52">
        <f t="shared" si="47"/>
        <v>2.442792462065583</v>
      </c>
      <c r="FF12" s="52"/>
      <c r="FG12" s="52"/>
      <c r="FH12" s="57"/>
      <c r="FI12" s="9"/>
      <c r="FJ12" s="9"/>
      <c r="FK12" s="9"/>
      <c r="FL12" s="122"/>
      <c r="FM12" s="123"/>
      <c r="FN12" s="127"/>
      <c r="FO12" s="128"/>
      <c r="FP12" s="127"/>
      <c r="FQ12" s="144"/>
      <c r="FR12" s="38"/>
      <c r="FS12" s="33"/>
      <c r="FT12" s="51"/>
      <c r="FU12" s="58"/>
      <c r="FV12" s="3"/>
      <c r="FW12" s="24"/>
      <c r="FX12" s="23"/>
      <c r="FY12" s="58"/>
      <c r="FZ12" s="38"/>
      <c r="GA12" s="24"/>
      <c r="GB12" s="3"/>
      <c r="GC12" s="63"/>
      <c r="GD12" s="83"/>
      <c r="GE12" s="27"/>
      <c r="GF12" s="89"/>
      <c r="GG12" s="63"/>
      <c r="GH12" s="38"/>
      <c r="GI12" s="33"/>
      <c r="GJ12" s="9"/>
      <c r="GK12" s="52"/>
      <c r="GL12" s="52"/>
      <c r="GM12" s="41">
        <f t="shared" si="37"/>
        <v>554.179</v>
      </c>
      <c r="GN12" s="41">
        <f t="shared" si="38"/>
        <v>491.36299999999994</v>
      </c>
      <c r="GO12" s="38">
        <f t="shared" si="39"/>
        <v>62.81600000000003</v>
      </c>
      <c r="GP12" s="47">
        <f t="shared" si="40"/>
        <v>12.784031357672433</v>
      </c>
      <c r="GQ12" s="37"/>
    </row>
    <row r="13" spans="1:199" ht="24.75" customHeight="1">
      <c r="A13" s="190" t="s">
        <v>40</v>
      </c>
      <c r="B13" s="112">
        <f t="shared" si="2"/>
        <v>175.096</v>
      </c>
      <c r="C13" s="41">
        <f t="shared" si="41"/>
        <v>74.616</v>
      </c>
      <c r="D13" s="38">
        <f t="shared" si="0"/>
        <v>100.48</v>
      </c>
      <c r="E13" s="27">
        <f t="shared" si="42"/>
        <v>134.6628069046853</v>
      </c>
      <c r="F13" s="39">
        <f>2.257+40.997+2.491+43.547+6.802+43.802</f>
        <v>139.896</v>
      </c>
      <c r="G13" s="39">
        <v>35.277</v>
      </c>
      <c r="H13" s="70">
        <f t="shared" si="3"/>
        <v>104.61899999999999</v>
      </c>
      <c r="I13" s="52">
        <f t="shared" si="4"/>
        <v>296.5643337018454</v>
      </c>
      <c r="J13" s="16"/>
      <c r="K13" s="16"/>
      <c r="L13" s="16"/>
      <c r="M13" s="6"/>
      <c r="N13" s="38">
        <v>3.96</v>
      </c>
      <c r="O13" s="38">
        <v>27.794</v>
      </c>
      <c r="P13" s="38">
        <f t="shared" si="5"/>
        <v>-23.834</v>
      </c>
      <c r="Q13" s="16"/>
      <c r="R13" s="16"/>
      <c r="S13" s="16">
        <f t="shared" si="43"/>
        <v>0</v>
      </c>
      <c r="T13" s="35">
        <f t="shared" si="6"/>
        <v>-85.75232064474346</v>
      </c>
      <c r="U13" s="38">
        <v>31.24</v>
      </c>
      <c r="V13" s="6"/>
      <c r="W13" s="6"/>
      <c r="X13" s="6"/>
      <c r="Y13" s="38">
        <v>11.545</v>
      </c>
      <c r="Z13" s="104">
        <f t="shared" si="7"/>
        <v>19.695</v>
      </c>
      <c r="AA13" s="2">
        <f>U13/Y13*100-100</f>
        <v>170.59333044608053</v>
      </c>
      <c r="AB13" s="99"/>
      <c r="AC13" s="99"/>
      <c r="AD13" s="99"/>
      <c r="AE13" s="99"/>
      <c r="AF13" s="6"/>
      <c r="AG13" s="136"/>
      <c r="AH13" s="6"/>
      <c r="AI13" s="6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01">
        <f>1.915+1.458</f>
        <v>3.373</v>
      </c>
      <c r="AU13" s="6"/>
      <c r="AV13" s="6"/>
      <c r="AW13" s="9"/>
      <c r="AX13" s="6"/>
      <c r="AY13" s="6"/>
      <c r="AZ13" s="6"/>
      <c r="BA13" s="9"/>
      <c r="BB13" s="101">
        <v>3.638</v>
      </c>
      <c r="BC13" s="41">
        <f t="shared" si="8"/>
        <v>-0.2649999999999997</v>
      </c>
      <c r="BD13" s="52">
        <f t="shared" si="9"/>
        <v>-7.284222100054976</v>
      </c>
      <c r="BE13" s="41">
        <f t="shared" si="10"/>
        <v>38.038999999999994</v>
      </c>
      <c r="BF13" s="41">
        <f t="shared" si="11"/>
        <v>40.205</v>
      </c>
      <c r="BG13" s="52">
        <f t="shared" si="12"/>
        <v>-2.166000000000004</v>
      </c>
      <c r="BH13" s="52">
        <f t="shared" si="13"/>
        <v>-5.3873896281557165</v>
      </c>
      <c r="BI13" s="41">
        <f t="shared" si="14"/>
        <v>7.086</v>
      </c>
      <c r="BJ13" s="52">
        <f t="shared" si="15"/>
        <v>11.485999999999999</v>
      </c>
      <c r="BK13" s="52">
        <f t="shared" si="16"/>
        <v>-4.399999999999999</v>
      </c>
      <c r="BL13" s="52">
        <f t="shared" si="44"/>
        <v>-38.30750478843809</v>
      </c>
      <c r="BM13" s="6"/>
      <c r="BN13" s="6"/>
      <c r="BO13" s="6"/>
      <c r="BP13" s="6"/>
      <c r="BQ13" s="6"/>
      <c r="BR13" s="41"/>
      <c r="BS13" s="52"/>
      <c r="BT13" s="54"/>
      <c r="BU13" s="2"/>
      <c r="BV13" s="2"/>
      <c r="BW13" s="2"/>
      <c r="BX13" s="38">
        <v>2.786</v>
      </c>
      <c r="BY13" s="50">
        <f t="shared" si="17"/>
        <v>-2.786</v>
      </c>
      <c r="BZ13" s="2"/>
      <c r="CA13" s="52">
        <v>0</v>
      </c>
      <c r="CB13" s="39"/>
      <c r="CC13" s="6"/>
      <c r="CD13" s="6"/>
      <c r="CE13" s="9"/>
      <c r="CF13" s="38"/>
      <c r="CG13" s="41"/>
      <c r="CH13" s="52"/>
      <c r="CI13" s="54">
        <v>7.086</v>
      </c>
      <c r="CJ13" s="6"/>
      <c r="CK13" s="6"/>
      <c r="CL13" s="9"/>
      <c r="CM13" s="54">
        <v>8.7</v>
      </c>
      <c r="CN13" s="71">
        <f t="shared" si="48"/>
        <v>-1.613999999999999</v>
      </c>
      <c r="CO13" s="52">
        <f t="shared" si="18"/>
        <v>-18.551724137931018</v>
      </c>
      <c r="CP13" s="52">
        <f t="shared" si="19"/>
        <v>30.952999999999996</v>
      </c>
      <c r="CQ13" s="52">
        <f t="shared" si="20"/>
        <v>28.719</v>
      </c>
      <c r="CR13" s="52">
        <f t="shared" si="21"/>
        <v>2.2339999999999947</v>
      </c>
      <c r="CS13" s="52">
        <f t="shared" si="22"/>
        <v>7.778822382394907</v>
      </c>
      <c r="CT13" s="54">
        <v>5.74</v>
      </c>
      <c r="CU13" s="6"/>
      <c r="CV13" s="6"/>
      <c r="CW13" s="9"/>
      <c r="CX13" s="39">
        <v>8.562</v>
      </c>
      <c r="CY13" s="41">
        <f t="shared" si="23"/>
        <v>-2.821999999999999</v>
      </c>
      <c r="CZ13" s="52">
        <f t="shared" si="24"/>
        <v>-32.95958888110255</v>
      </c>
      <c r="DA13" s="54">
        <v>21.755</v>
      </c>
      <c r="DB13" s="6"/>
      <c r="DC13" s="6"/>
      <c r="DD13" s="9"/>
      <c r="DE13" s="54">
        <v>19.039</v>
      </c>
      <c r="DF13" s="41">
        <f t="shared" si="25"/>
        <v>2.7159999999999975</v>
      </c>
      <c r="DG13" s="52">
        <f t="shared" si="26"/>
        <v>14.265455118441082</v>
      </c>
      <c r="DH13" s="39">
        <v>0.363</v>
      </c>
      <c r="DI13" s="6"/>
      <c r="DJ13" s="6"/>
      <c r="DK13" s="9"/>
      <c r="DL13" s="39">
        <v>0.245</v>
      </c>
      <c r="DM13" s="35">
        <f t="shared" si="27"/>
        <v>0.118</v>
      </c>
      <c r="DN13" s="52">
        <f t="shared" si="28"/>
        <v>48.16326530612244</v>
      </c>
      <c r="DO13" s="38">
        <v>3.095</v>
      </c>
      <c r="DP13" s="6"/>
      <c r="DQ13" s="6"/>
      <c r="DR13" s="9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9"/>
      <c r="EE13" s="39">
        <v>0.873</v>
      </c>
      <c r="EF13" s="41">
        <f t="shared" si="29"/>
        <v>2.2220000000000004</v>
      </c>
      <c r="EG13" s="52">
        <f t="shared" si="30"/>
        <v>254.52462772050404</v>
      </c>
      <c r="EH13" s="39"/>
      <c r="EI13" s="9"/>
      <c r="EJ13" s="9"/>
      <c r="EK13" s="9"/>
      <c r="EL13" s="52"/>
      <c r="EM13" s="41">
        <f t="shared" si="1"/>
        <v>203.045</v>
      </c>
      <c r="EN13" s="41">
        <f t="shared" si="45"/>
        <v>238.284</v>
      </c>
      <c r="EO13" s="41">
        <f t="shared" si="31"/>
        <v>-35.239000000000004</v>
      </c>
      <c r="EP13" s="52">
        <f t="shared" si="32"/>
        <v>-14.788655553876879</v>
      </c>
      <c r="EQ13" s="9"/>
      <c r="ER13" s="54">
        <v>6.57</v>
      </c>
      <c r="ES13" s="54">
        <v>0.3</v>
      </c>
      <c r="ET13" s="35">
        <f t="shared" si="33"/>
        <v>6.2700000000000005</v>
      </c>
      <c r="EU13" s="52">
        <f t="shared" si="34"/>
        <v>2090</v>
      </c>
      <c r="EV13" s="39">
        <f>2.87+47.6+3.42</f>
        <v>53.89</v>
      </c>
      <c r="EW13" s="39">
        <v>88.592</v>
      </c>
      <c r="EX13" s="41">
        <f t="shared" si="35"/>
        <v>-34.702</v>
      </c>
      <c r="EY13" s="52">
        <f t="shared" si="36"/>
        <v>-39.1705797363193</v>
      </c>
      <c r="EZ13" s="39">
        <f>135.54+7.045</f>
        <v>142.58499999999998</v>
      </c>
      <c r="FA13" s="6"/>
      <c r="FB13" s="6"/>
      <c r="FC13" s="38">
        <v>149.392</v>
      </c>
      <c r="FD13" s="41">
        <f t="shared" si="46"/>
        <v>-6.807000000000016</v>
      </c>
      <c r="FE13" s="52">
        <f t="shared" si="47"/>
        <v>-4.556468887222891</v>
      </c>
      <c r="FF13" s="52"/>
      <c r="FG13" s="52"/>
      <c r="FH13" s="57"/>
      <c r="FI13" s="9"/>
      <c r="FJ13" s="9"/>
      <c r="FK13" s="9"/>
      <c r="FL13" s="122"/>
      <c r="FM13" s="123"/>
      <c r="FN13" s="125"/>
      <c r="FO13" s="126"/>
      <c r="FP13" s="127"/>
      <c r="FQ13" s="146"/>
      <c r="FR13" s="40"/>
      <c r="FS13" s="28"/>
      <c r="FT13" s="29"/>
      <c r="FU13" s="59"/>
      <c r="FV13" s="10"/>
      <c r="FW13" s="20"/>
      <c r="FX13" s="22"/>
      <c r="FY13" s="59"/>
      <c r="FZ13" s="40"/>
      <c r="GA13" s="20"/>
      <c r="GB13" s="10"/>
      <c r="GC13" s="64"/>
      <c r="GD13" s="86"/>
      <c r="GE13" s="9"/>
      <c r="GF13" s="88"/>
      <c r="GG13" s="64"/>
      <c r="GH13" s="40"/>
      <c r="GI13" s="28"/>
      <c r="GJ13" s="27"/>
      <c r="GK13" s="9"/>
      <c r="GL13" s="9"/>
      <c r="GM13" s="41">
        <f t="shared" si="37"/>
        <v>419.553</v>
      </c>
      <c r="GN13" s="41">
        <f t="shared" si="38"/>
        <v>356.743</v>
      </c>
      <c r="GO13" s="38">
        <f t="shared" si="39"/>
        <v>62.81</v>
      </c>
      <c r="GP13" s="47">
        <f t="shared" si="40"/>
        <v>17.606512251116357</v>
      </c>
      <c r="GQ13" s="37"/>
    </row>
    <row r="14" spans="1:199" ht="24" customHeight="1">
      <c r="A14" s="190" t="s">
        <v>47</v>
      </c>
      <c r="B14" s="112">
        <f t="shared" si="2"/>
        <v>288.684</v>
      </c>
      <c r="C14" s="41">
        <f t="shared" si="41"/>
        <v>198.83199999999997</v>
      </c>
      <c r="D14" s="38">
        <f t="shared" si="0"/>
        <v>89.85200000000006</v>
      </c>
      <c r="E14" s="9">
        <f t="shared" si="42"/>
        <v>45.18990906896278</v>
      </c>
      <c r="F14" s="39">
        <f>16.137+48.914+23.547+49.324+22.34+52.197</f>
        <v>212.459</v>
      </c>
      <c r="G14" s="39">
        <v>154.581</v>
      </c>
      <c r="H14" s="70">
        <f t="shared" si="3"/>
        <v>57.878000000000014</v>
      </c>
      <c r="I14" s="52">
        <f t="shared" si="4"/>
        <v>37.44185896067435</v>
      </c>
      <c r="J14" s="16"/>
      <c r="K14" s="16"/>
      <c r="L14" s="16"/>
      <c r="M14" s="6"/>
      <c r="N14" s="38">
        <v>66.961</v>
      </c>
      <c r="O14" s="38">
        <v>31.348</v>
      </c>
      <c r="P14" s="38">
        <f t="shared" si="5"/>
        <v>35.613</v>
      </c>
      <c r="Q14" s="16"/>
      <c r="R14" s="16"/>
      <c r="S14" s="16">
        <f t="shared" si="43"/>
        <v>0</v>
      </c>
      <c r="T14" s="35">
        <f t="shared" si="6"/>
        <v>113.6053336735996</v>
      </c>
      <c r="U14" s="38">
        <v>9.264</v>
      </c>
      <c r="V14" s="6"/>
      <c r="W14" s="6"/>
      <c r="X14" s="6"/>
      <c r="Y14" s="38">
        <v>12.903</v>
      </c>
      <c r="Z14" s="104">
        <f t="shared" si="7"/>
        <v>-3.639000000000001</v>
      </c>
      <c r="AA14" s="2">
        <f>U14/Y14*100-100</f>
        <v>-28.202743548012094</v>
      </c>
      <c r="AB14" s="99"/>
      <c r="AC14" s="99"/>
      <c r="AD14" s="99"/>
      <c r="AE14" s="14"/>
      <c r="AF14" s="136"/>
      <c r="AG14" s="99"/>
      <c r="AH14" s="6"/>
      <c r="AI14" s="6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01">
        <v>0.112</v>
      </c>
      <c r="AU14" s="6"/>
      <c r="AV14" s="6"/>
      <c r="AW14" s="9"/>
      <c r="AX14" s="6"/>
      <c r="AY14" s="6"/>
      <c r="AZ14" s="15"/>
      <c r="BA14" s="9"/>
      <c r="BB14" s="101">
        <v>1.046</v>
      </c>
      <c r="BC14" s="41">
        <f t="shared" si="8"/>
        <v>-0.934</v>
      </c>
      <c r="BD14" s="52">
        <f t="shared" si="9"/>
        <v>-89.2925430210325</v>
      </c>
      <c r="BE14" s="41">
        <f t="shared" si="10"/>
        <v>169.03199999999998</v>
      </c>
      <c r="BF14" s="41">
        <f t="shared" si="11"/>
        <v>85.006</v>
      </c>
      <c r="BG14" s="52">
        <f t="shared" si="12"/>
        <v>84.02599999999998</v>
      </c>
      <c r="BH14" s="52">
        <f t="shared" si="13"/>
        <v>98.84714020186809</v>
      </c>
      <c r="BI14" s="41">
        <f t="shared" si="14"/>
        <v>0.774</v>
      </c>
      <c r="BJ14" s="52">
        <f t="shared" si="15"/>
        <v>15.920000000000002</v>
      </c>
      <c r="BK14" s="52">
        <f t="shared" si="16"/>
        <v>-15.146</v>
      </c>
      <c r="BL14" s="52">
        <f t="shared" si="44"/>
        <v>-95.13819095477388</v>
      </c>
      <c r="BM14" s="38">
        <v>0.774</v>
      </c>
      <c r="BN14" s="6"/>
      <c r="BO14" s="6"/>
      <c r="BP14" s="6"/>
      <c r="BQ14" s="38">
        <v>0.774</v>
      </c>
      <c r="BR14" s="41">
        <f>BM14-BQ14</f>
        <v>0</v>
      </c>
      <c r="BS14" s="52">
        <v>0</v>
      </c>
      <c r="BT14" s="54"/>
      <c r="BU14" s="2"/>
      <c r="BV14" s="2"/>
      <c r="BW14" s="2"/>
      <c r="BX14" s="38"/>
      <c r="BY14" s="50">
        <f t="shared" si="17"/>
        <v>0</v>
      </c>
      <c r="BZ14" s="2"/>
      <c r="CA14" s="52">
        <v>0</v>
      </c>
      <c r="CB14" s="39"/>
      <c r="CC14" s="6"/>
      <c r="CD14" s="6"/>
      <c r="CE14" s="9"/>
      <c r="CF14" s="38"/>
      <c r="CG14" s="41"/>
      <c r="CH14" s="52"/>
      <c r="CI14" s="54">
        <v>0</v>
      </c>
      <c r="CJ14" s="6"/>
      <c r="CK14" s="6"/>
      <c r="CL14" s="6"/>
      <c r="CM14" s="54">
        <v>15.146</v>
      </c>
      <c r="CN14" s="71">
        <f t="shared" si="48"/>
        <v>-15.146</v>
      </c>
      <c r="CO14" s="52">
        <f t="shared" si="18"/>
        <v>-100</v>
      </c>
      <c r="CP14" s="52">
        <f t="shared" si="19"/>
        <v>168.25799999999998</v>
      </c>
      <c r="CQ14" s="52">
        <f t="shared" si="20"/>
        <v>69.086</v>
      </c>
      <c r="CR14" s="52">
        <f t="shared" si="21"/>
        <v>99.17199999999998</v>
      </c>
      <c r="CS14" s="52">
        <f t="shared" si="22"/>
        <v>143.54862055988184</v>
      </c>
      <c r="CT14" s="54">
        <v>15.261</v>
      </c>
      <c r="CU14" s="6"/>
      <c r="CV14" s="6"/>
      <c r="CW14" s="9"/>
      <c r="CX14" s="39">
        <v>3.556</v>
      </c>
      <c r="CY14" s="41">
        <f t="shared" si="23"/>
        <v>11.704999999999998</v>
      </c>
      <c r="CZ14" s="52">
        <f t="shared" si="24"/>
        <v>329.1619797525309</v>
      </c>
      <c r="DA14" s="54">
        <v>111.564</v>
      </c>
      <c r="DB14" s="6"/>
      <c r="DC14" s="6"/>
      <c r="DD14" s="9"/>
      <c r="DE14" s="54">
        <v>61.756</v>
      </c>
      <c r="DF14" s="41">
        <f t="shared" si="25"/>
        <v>49.80799999999999</v>
      </c>
      <c r="DG14" s="52">
        <f t="shared" si="26"/>
        <v>80.65289202668566</v>
      </c>
      <c r="DH14" s="54">
        <v>1.375</v>
      </c>
      <c r="DI14" s="6"/>
      <c r="DJ14" s="6"/>
      <c r="DK14" s="9"/>
      <c r="DL14" s="54">
        <v>1.535</v>
      </c>
      <c r="DM14" s="35">
        <f t="shared" si="27"/>
        <v>-0.15999999999999992</v>
      </c>
      <c r="DN14" s="52">
        <f t="shared" si="28"/>
        <v>-10.423452768729632</v>
      </c>
      <c r="DO14" s="39">
        <v>40.058</v>
      </c>
      <c r="DP14" s="6"/>
      <c r="DQ14" s="6"/>
      <c r="DR14" s="9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9"/>
      <c r="EE14" s="39">
        <v>2.239</v>
      </c>
      <c r="EF14" s="41">
        <f t="shared" si="29"/>
        <v>37.819</v>
      </c>
      <c r="EG14" s="52">
        <f t="shared" si="30"/>
        <v>1689.1022778025906</v>
      </c>
      <c r="EH14" s="39"/>
      <c r="EI14" s="9"/>
      <c r="EJ14" s="9"/>
      <c r="EK14" s="9"/>
      <c r="EL14" s="52"/>
      <c r="EM14" s="41">
        <f t="shared" si="1"/>
        <v>69.502</v>
      </c>
      <c r="EN14" s="41">
        <f t="shared" si="45"/>
        <v>52.696000000000005</v>
      </c>
      <c r="EO14" s="41">
        <f t="shared" si="31"/>
        <v>16.80599999999999</v>
      </c>
      <c r="EP14" s="52">
        <f t="shared" si="32"/>
        <v>31.892363746773924</v>
      </c>
      <c r="EQ14" s="9"/>
      <c r="ER14" s="39">
        <v>5.725</v>
      </c>
      <c r="ES14" s="39">
        <v>6.6</v>
      </c>
      <c r="ET14" s="35">
        <f t="shared" si="33"/>
        <v>-0.875</v>
      </c>
      <c r="EU14" s="52">
        <f t="shared" si="34"/>
        <v>-13.25757575757575</v>
      </c>
      <c r="EV14" s="39">
        <f>3.005+13.82+2.82</f>
        <v>19.645</v>
      </c>
      <c r="EW14" s="39">
        <v>44.417</v>
      </c>
      <c r="EX14" s="41">
        <f t="shared" si="35"/>
        <v>-24.772000000000002</v>
      </c>
      <c r="EY14" s="52">
        <f t="shared" si="36"/>
        <v>-55.77143886349821</v>
      </c>
      <c r="EZ14" s="39">
        <f>42.967+1.165</f>
        <v>44.132</v>
      </c>
      <c r="FA14" s="6"/>
      <c r="FB14" s="6"/>
      <c r="FC14" s="39">
        <v>1.679</v>
      </c>
      <c r="FD14" s="41">
        <f t="shared" si="46"/>
        <v>42.452999999999996</v>
      </c>
      <c r="FE14" s="52">
        <f t="shared" si="47"/>
        <v>2528.469326980345</v>
      </c>
      <c r="FF14" s="52"/>
      <c r="FG14" s="52"/>
      <c r="FH14" s="57"/>
      <c r="FI14" s="9"/>
      <c r="FJ14" s="9"/>
      <c r="FK14" s="9"/>
      <c r="FL14" s="122"/>
      <c r="FM14" s="123"/>
      <c r="FN14" s="127"/>
      <c r="FO14" s="128"/>
      <c r="FP14" s="127"/>
      <c r="FQ14" s="144"/>
      <c r="FR14" s="38"/>
      <c r="FS14" s="33"/>
      <c r="FT14" s="51"/>
      <c r="FU14" s="58"/>
      <c r="FV14" s="3"/>
      <c r="FW14" s="24"/>
      <c r="FX14" s="23"/>
      <c r="FY14" s="58"/>
      <c r="FZ14" s="16"/>
      <c r="GA14" s="24"/>
      <c r="GB14" s="3"/>
      <c r="GC14" s="63"/>
      <c r="GD14" s="83"/>
      <c r="GE14" s="27"/>
      <c r="GF14" s="89"/>
      <c r="GG14" s="63"/>
      <c r="GH14" s="38"/>
      <c r="GI14" s="97"/>
      <c r="GJ14" s="9"/>
      <c r="GK14" s="52"/>
      <c r="GL14" s="52"/>
      <c r="GM14" s="41">
        <f t="shared" si="37"/>
        <v>527.33</v>
      </c>
      <c r="GN14" s="41">
        <f t="shared" si="38"/>
        <v>337.58</v>
      </c>
      <c r="GO14" s="42">
        <f t="shared" si="39"/>
        <v>189.75000000000006</v>
      </c>
      <c r="GP14" s="47">
        <f t="shared" si="40"/>
        <v>56.20889863143552</v>
      </c>
      <c r="GQ14" s="37"/>
    </row>
    <row r="15" spans="1:199" ht="24" customHeight="1">
      <c r="A15" s="190" t="s">
        <v>41</v>
      </c>
      <c r="B15" s="112">
        <f t="shared" si="2"/>
        <v>150.202</v>
      </c>
      <c r="C15" s="41">
        <f t="shared" si="41"/>
        <v>74.431</v>
      </c>
      <c r="D15" s="38">
        <f t="shared" si="0"/>
        <v>75.771</v>
      </c>
      <c r="E15" s="27">
        <f t="shared" si="42"/>
        <v>101.80032513334498</v>
      </c>
      <c r="F15" s="39">
        <f>3.125+39.914+0.295+42.05+43.219</f>
        <v>128.603</v>
      </c>
      <c r="G15" s="39">
        <v>62.103</v>
      </c>
      <c r="H15" s="70">
        <f t="shared" si="3"/>
        <v>66.5</v>
      </c>
      <c r="I15" s="52">
        <f t="shared" si="4"/>
        <v>107.08017326055105</v>
      </c>
      <c r="J15" s="16"/>
      <c r="K15" s="16"/>
      <c r="L15" s="16"/>
      <c r="M15" s="6"/>
      <c r="N15" s="38">
        <v>10.768</v>
      </c>
      <c r="O15" s="38">
        <v>10.188</v>
      </c>
      <c r="P15" s="38">
        <f t="shared" si="5"/>
        <v>0.5800000000000001</v>
      </c>
      <c r="Q15" s="16"/>
      <c r="R15" s="16"/>
      <c r="S15" s="16">
        <f t="shared" si="43"/>
        <v>0</v>
      </c>
      <c r="T15" s="35">
        <f t="shared" si="6"/>
        <v>5.692972124067538</v>
      </c>
      <c r="U15" s="38">
        <v>10.831</v>
      </c>
      <c r="V15" s="6"/>
      <c r="W15" s="6"/>
      <c r="X15" s="6"/>
      <c r="Y15" s="38">
        <v>2.14</v>
      </c>
      <c r="Z15" s="104">
        <f t="shared" si="7"/>
        <v>8.690999999999999</v>
      </c>
      <c r="AA15" s="2">
        <f>U15/Y15*100-100</f>
        <v>406.1214953271027</v>
      </c>
      <c r="AB15" s="99"/>
      <c r="AC15" s="99"/>
      <c r="AD15" s="99"/>
      <c r="AE15" s="99"/>
      <c r="AF15" s="6"/>
      <c r="AG15" s="136"/>
      <c r="AH15" s="6"/>
      <c r="AI15" s="6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01">
        <f>2.858+1.242</f>
        <v>4.1</v>
      </c>
      <c r="AU15" s="6"/>
      <c r="AV15" s="6"/>
      <c r="AW15" s="9"/>
      <c r="AX15" s="6"/>
      <c r="AY15" s="6"/>
      <c r="AZ15" s="6"/>
      <c r="BA15" s="9"/>
      <c r="BB15" s="101">
        <v>3.108</v>
      </c>
      <c r="BC15" s="41">
        <f t="shared" si="8"/>
        <v>0.9919999999999995</v>
      </c>
      <c r="BD15" s="52">
        <f t="shared" si="9"/>
        <v>31.917631917631894</v>
      </c>
      <c r="BE15" s="41">
        <f t="shared" si="10"/>
        <v>96.53999999999999</v>
      </c>
      <c r="BF15" s="41">
        <f t="shared" si="11"/>
        <v>52.51199999999999</v>
      </c>
      <c r="BG15" s="52">
        <f t="shared" si="12"/>
        <v>44.028</v>
      </c>
      <c r="BH15" s="52">
        <f t="shared" si="13"/>
        <v>83.8436928702011</v>
      </c>
      <c r="BI15" s="41">
        <f t="shared" si="14"/>
        <v>0</v>
      </c>
      <c r="BJ15" s="52">
        <f t="shared" si="15"/>
        <v>2.806</v>
      </c>
      <c r="BK15" s="52">
        <f t="shared" si="16"/>
        <v>-2.806</v>
      </c>
      <c r="BL15" s="52">
        <f t="shared" si="44"/>
        <v>-100</v>
      </c>
      <c r="BM15" s="6"/>
      <c r="BN15" s="6"/>
      <c r="BO15" s="6"/>
      <c r="BP15" s="6"/>
      <c r="BQ15" s="6"/>
      <c r="BR15" s="41"/>
      <c r="BS15" s="52"/>
      <c r="BT15" s="54"/>
      <c r="BU15" s="2"/>
      <c r="BV15" s="2"/>
      <c r="BW15" s="2"/>
      <c r="BX15" s="38"/>
      <c r="BY15" s="50">
        <f t="shared" si="17"/>
        <v>0</v>
      </c>
      <c r="BZ15" s="2"/>
      <c r="CA15" s="52">
        <v>0</v>
      </c>
      <c r="CB15" s="39"/>
      <c r="CC15" s="6"/>
      <c r="CD15" s="6"/>
      <c r="CE15" s="6"/>
      <c r="CF15" s="38"/>
      <c r="CG15" s="41"/>
      <c r="CH15" s="52"/>
      <c r="CI15" s="54">
        <v>0</v>
      </c>
      <c r="CJ15" s="6"/>
      <c r="CK15" s="6"/>
      <c r="CL15" s="6"/>
      <c r="CM15" s="54">
        <v>2.806</v>
      </c>
      <c r="CN15" s="71">
        <f t="shared" si="48"/>
        <v>-2.806</v>
      </c>
      <c r="CO15" s="52">
        <f t="shared" si="18"/>
        <v>-100</v>
      </c>
      <c r="CP15" s="52">
        <f t="shared" si="19"/>
        <v>96.53999999999999</v>
      </c>
      <c r="CQ15" s="52">
        <f t="shared" si="20"/>
        <v>49.705999999999996</v>
      </c>
      <c r="CR15" s="52">
        <f t="shared" si="21"/>
        <v>46.833999999999996</v>
      </c>
      <c r="CS15" s="52">
        <f t="shared" si="22"/>
        <v>94.22202550999879</v>
      </c>
      <c r="CT15" s="54">
        <v>0.647</v>
      </c>
      <c r="CU15" s="6"/>
      <c r="CV15" s="6"/>
      <c r="CW15" s="9"/>
      <c r="CX15" s="54">
        <v>2.555</v>
      </c>
      <c r="CY15" s="41">
        <f t="shared" si="23"/>
        <v>-1.9080000000000001</v>
      </c>
      <c r="CZ15" s="52">
        <f t="shared" si="24"/>
        <v>-74.67710371819962</v>
      </c>
      <c r="DA15" s="54">
        <v>92.317</v>
      </c>
      <c r="DB15" s="6"/>
      <c r="DC15" s="6"/>
      <c r="DD15" s="9"/>
      <c r="DE15" s="54">
        <v>43.53</v>
      </c>
      <c r="DF15" s="41">
        <f t="shared" si="25"/>
        <v>48.78699999999999</v>
      </c>
      <c r="DG15" s="52">
        <f t="shared" si="26"/>
        <v>112.07672869285551</v>
      </c>
      <c r="DH15" s="54">
        <v>0.86</v>
      </c>
      <c r="DI15" s="6"/>
      <c r="DJ15" s="6"/>
      <c r="DK15" s="9"/>
      <c r="DL15" s="54">
        <v>0.065</v>
      </c>
      <c r="DM15" s="35">
        <f t="shared" si="27"/>
        <v>0.7949999999999999</v>
      </c>
      <c r="DN15" s="52">
        <f t="shared" si="28"/>
        <v>1223.076923076923</v>
      </c>
      <c r="DO15" s="39">
        <v>2.716</v>
      </c>
      <c r="DP15" s="6"/>
      <c r="DQ15" s="6"/>
      <c r="DR15" s="9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9"/>
      <c r="EE15" s="39">
        <v>3.556</v>
      </c>
      <c r="EF15" s="41">
        <f t="shared" si="29"/>
        <v>-0.8399999999999999</v>
      </c>
      <c r="EG15" s="52">
        <f t="shared" si="30"/>
        <v>-23.622047244094475</v>
      </c>
      <c r="EH15" s="39"/>
      <c r="EI15" s="9"/>
      <c r="EJ15" s="9"/>
      <c r="EK15" s="9"/>
      <c r="EL15" s="52"/>
      <c r="EM15" s="41">
        <f t="shared" si="1"/>
        <v>130.38400000000001</v>
      </c>
      <c r="EN15" s="41">
        <f t="shared" si="45"/>
        <v>102.777</v>
      </c>
      <c r="EO15" s="41">
        <f t="shared" si="31"/>
        <v>27.607000000000014</v>
      </c>
      <c r="EP15" s="52">
        <f t="shared" si="32"/>
        <v>26.86106813781295</v>
      </c>
      <c r="EQ15" s="9"/>
      <c r="ER15" s="54">
        <v>3.44</v>
      </c>
      <c r="ES15" s="54">
        <v>5.072</v>
      </c>
      <c r="ET15" s="35">
        <f>ER15-ES15</f>
        <v>-1.6320000000000001</v>
      </c>
      <c r="EU15" s="52">
        <f t="shared" si="34"/>
        <v>-32.176656151419564</v>
      </c>
      <c r="EV15" s="39">
        <f>12.71+16.614+4.976</f>
        <v>34.300000000000004</v>
      </c>
      <c r="EW15" s="39">
        <v>31.015</v>
      </c>
      <c r="EX15" s="41">
        <f t="shared" si="35"/>
        <v>3.2850000000000037</v>
      </c>
      <c r="EY15" s="52">
        <f t="shared" si="36"/>
        <v>10.591649201999047</v>
      </c>
      <c r="EZ15" s="39">
        <f>90.236+2.408</f>
        <v>92.644</v>
      </c>
      <c r="FA15" s="6"/>
      <c r="FB15" s="6"/>
      <c r="FC15" s="39">
        <v>66.69</v>
      </c>
      <c r="FD15" s="41">
        <f t="shared" si="46"/>
        <v>25.954000000000008</v>
      </c>
      <c r="FE15" s="52">
        <f t="shared" si="47"/>
        <v>38.917378917378926</v>
      </c>
      <c r="FF15" s="52"/>
      <c r="FG15" s="52"/>
      <c r="FH15" s="57"/>
      <c r="FI15" s="38"/>
      <c r="FJ15" s="9"/>
      <c r="FK15" s="9"/>
      <c r="FL15" s="122"/>
      <c r="FM15" s="123"/>
      <c r="FN15" s="125"/>
      <c r="FO15" s="126"/>
      <c r="FP15" s="127"/>
      <c r="FQ15" s="146"/>
      <c r="FR15" s="40"/>
      <c r="FS15" s="28"/>
      <c r="FT15" s="29"/>
      <c r="FU15" s="59"/>
      <c r="FV15" s="10"/>
      <c r="FW15" s="20"/>
      <c r="FX15" s="22"/>
      <c r="FY15" s="59"/>
      <c r="FZ15" s="31"/>
      <c r="GA15" s="20"/>
      <c r="GB15" s="10"/>
      <c r="GC15" s="64"/>
      <c r="GD15" s="86"/>
      <c r="GE15" s="9"/>
      <c r="GF15" s="88"/>
      <c r="GG15" s="64"/>
      <c r="GH15" s="40"/>
      <c r="GI15" s="28"/>
      <c r="GJ15" s="27"/>
      <c r="GK15" s="9"/>
      <c r="GL15" s="9"/>
      <c r="GM15" s="41">
        <f t="shared" si="37"/>
        <v>381.226</v>
      </c>
      <c r="GN15" s="41">
        <f t="shared" si="38"/>
        <v>232.82799999999997</v>
      </c>
      <c r="GO15" s="38">
        <f t="shared" si="39"/>
        <v>148.39800000000002</v>
      </c>
      <c r="GP15" s="47">
        <f t="shared" si="40"/>
        <v>63.73717937705089</v>
      </c>
      <c r="GQ15" s="37"/>
    </row>
    <row r="16" spans="1:199" ht="24" customHeight="1">
      <c r="A16" s="190" t="s">
        <v>42</v>
      </c>
      <c r="B16" s="112">
        <f t="shared" si="2"/>
        <v>187.742</v>
      </c>
      <c r="C16" s="41">
        <f t="shared" si="41"/>
        <v>131.851</v>
      </c>
      <c r="D16" s="38">
        <f t="shared" si="0"/>
        <v>55.89099999999999</v>
      </c>
      <c r="E16" s="9">
        <f t="shared" si="42"/>
        <v>42.38951543788062</v>
      </c>
      <c r="F16" s="39">
        <f>2.221+34.199+9.982+38.143+14.104+39.981</f>
        <v>138.63</v>
      </c>
      <c r="G16" s="39">
        <v>89.711</v>
      </c>
      <c r="H16" s="70">
        <f t="shared" si="3"/>
        <v>48.919</v>
      </c>
      <c r="I16" s="52">
        <f t="shared" si="4"/>
        <v>54.52954487186631</v>
      </c>
      <c r="J16" s="16"/>
      <c r="K16" s="16"/>
      <c r="L16" s="16"/>
      <c r="M16" s="6"/>
      <c r="N16" s="38">
        <v>19.886</v>
      </c>
      <c r="O16" s="38">
        <v>42.14</v>
      </c>
      <c r="P16" s="38">
        <f t="shared" si="5"/>
        <v>-22.254</v>
      </c>
      <c r="Q16" s="16"/>
      <c r="R16" s="16"/>
      <c r="S16" s="16">
        <f t="shared" si="43"/>
        <v>0</v>
      </c>
      <c r="T16" s="35">
        <f t="shared" si="6"/>
        <v>-52.80968201233982</v>
      </c>
      <c r="U16" s="38">
        <v>29.226</v>
      </c>
      <c r="V16" s="6"/>
      <c r="W16" s="6"/>
      <c r="X16" s="6"/>
      <c r="Y16" s="38"/>
      <c r="Z16" s="104">
        <f t="shared" si="7"/>
        <v>29.226</v>
      </c>
      <c r="AA16" s="2"/>
      <c r="AB16" s="99"/>
      <c r="AC16" s="99"/>
      <c r="AD16" s="99"/>
      <c r="AE16" s="14"/>
      <c r="AF16" s="136"/>
      <c r="AG16" s="99"/>
      <c r="AH16" s="6"/>
      <c r="AI16" s="6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01">
        <v>1.155</v>
      </c>
      <c r="AU16" s="6"/>
      <c r="AV16" s="6"/>
      <c r="AW16" s="9"/>
      <c r="AX16" s="6"/>
      <c r="AY16" s="6"/>
      <c r="AZ16" s="15"/>
      <c r="BA16" s="9"/>
      <c r="BB16" s="101">
        <v>1.283</v>
      </c>
      <c r="BC16" s="41">
        <f t="shared" si="8"/>
        <v>-0.1279999999999999</v>
      </c>
      <c r="BD16" s="52">
        <f t="shared" si="9"/>
        <v>-9.976617303195624</v>
      </c>
      <c r="BE16" s="41">
        <f t="shared" si="10"/>
        <v>315.28099999999995</v>
      </c>
      <c r="BF16" s="41">
        <f t="shared" si="11"/>
        <v>214.321</v>
      </c>
      <c r="BG16" s="52">
        <f t="shared" si="12"/>
        <v>100.95999999999995</v>
      </c>
      <c r="BH16" s="52">
        <f t="shared" si="13"/>
        <v>47.10690972886462</v>
      </c>
      <c r="BI16" s="41">
        <f t="shared" si="14"/>
        <v>4.438</v>
      </c>
      <c r="BJ16" s="52">
        <f t="shared" si="15"/>
        <v>4.221</v>
      </c>
      <c r="BK16" s="52">
        <f t="shared" si="16"/>
        <v>0.21699999999999964</v>
      </c>
      <c r="BL16" s="52">
        <f t="shared" si="44"/>
        <v>5.14096185737975</v>
      </c>
      <c r="BM16" s="6"/>
      <c r="BN16" s="6"/>
      <c r="BO16" s="6"/>
      <c r="BP16" s="9"/>
      <c r="BQ16" s="6"/>
      <c r="BR16" s="41"/>
      <c r="BS16" s="52"/>
      <c r="BT16" s="54"/>
      <c r="BU16" s="2"/>
      <c r="BV16" s="2"/>
      <c r="BW16" s="3"/>
      <c r="BX16" s="38"/>
      <c r="BY16" s="50">
        <f t="shared" si="17"/>
        <v>0</v>
      </c>
      <c r="BZ16" s="3"/>
      <c r="CA16" s="52"/>
      <c r="CB16" s="39"/>
      <c r="CC16" s="6"/>
      <c r="CD16" s="6"/>
      <c r="CE16" s="9"/>
      <c r="CF16" s="38"/>
      <c r="CG16" s="41"/>
      <c r="CH16" s="52"/>
      <c r="CI16" s="39">
        <v>4.438</v>
      </c>
      <c r="CJ16" s="6"/>
      <c r="CK16" s="6"/>
      <c r="CL16" s="9"/>
      <c r="CM16" s="39">
        <v>4.221</v>
      </c>
      <c r="CN16" s="71">
        <f t="shared" si="48"/>
        <v>0.21699999999999964</v>
      </c>
      <c r="CO16" s="52">
        <f t="shared" si="18"/>
        <v>5.14096185737975</v>
      </c>
      <c r="CP16" s="52">
        <f t="shared" si="19"/>
        <v>310.84299999999996</v>
      </c>
      <c r="CQ16" s="52">
        <f t="shared" si="20"/>
        <v>210.1</v>
      </c>
      <c r="CR16" s="52">
        <f t="shared" si="21"/>
        <v>100.74299999999997</v>
      </c>
      <c r="CS16" s="52">
        <f t="shared" si="22"/>
        <v>47.950023798191324</v>
      </c>
      <c r="CT16" s="54">
        <v>0.642</v>
      </c>
      <c r="CU16" s="6"/>
      <c r="CV16" s="6"/>
      <c r="CW16" s="9"/>
      <c r="CX16" s="54">
        <v>7.672</v>
      </c>
      <c r="CY16" s="41">
        <f t="shared" si="23"/>
        <v>-7.029999999999999</v>
      </c>
      <c r="CZ16" s="52">
        <f t="shared" si="24"/>
        <v>-91.63190823774765</v>
      </c>
      <c r="DA16" s="54">
        <v>281.899</v>
      </c>
      <c r="DB16" s="6"/>
      <c r="DC16" s="6"/>
      <c r="DD16" s="9"/>
      <c r="DE16" s="54">
        <v>187.704</v>
      </c>
      <c r="DF16" s="41">
        <f t="shared" si="25"/>
        <v>94.195</v>
      </c>
      <c r="DG16" s="52">
        <f t="shared" si="26"/>
        <v>50.18273451817754</v>
      </c>
      <c r="DH16" s="39">
        <v>6.405</v>
      </c>
      <c r="DI16" s="6"/>
      <c r="DJ16" s="6"/>
      <c r="DK16" s="9"/>
      <c r="DL16" s="39">
        <v>2.929</v>
      </c>
      <c r="DM16" s="35">
        <f t="shared" si="27"/>
        <v>3.4760000000000004</v>
      </c>
      <c r="DN16" s="52">
        <f t="shared" si="28"/>
        <v>118.67531580744281</v>
      </c>
      <c r="DO16" s="39">
        <v>21.897</v>
      </c>
      <c r="DP16" s="6"/>
      <c r="DQ16" s="6"/>
      <c r="DR16" s="9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9"/>
      <c r="EE16" s="39">
        <v>11.795</v>
      </c>
      <c r="EF16" s="41">
        <f t="shared" si="29"/>
        <v>10.101999999999999</v>
      </c>
      <c r="EG16" s="52">
        <f t="shared" si="30"/>
        <v>85.64646036456125</v>
      </c>
      <c r="EH16" s="39"/>
      <c r="EI16" s="38"/>
      <c r="EJ16" s="9"/>
      <c r="EK16" s="9"/>
      <c r="EL16" s="52"/>
      <c r="EM16" s="41">
        <f t="shared" si="1"/>
        <v>211.376</v>
      </c>
      <c r="EN16" s="41">
        <f t="shared" si="45"/>
        <v>460.943</v>
      </c>
      <c r="EO16" s="41">
        <f t="shared" si="31"/>
        <v>-249.56699999999998</v>
      </c>
      <c r="EP16" s="52">
        <f t="shared" si="32"/>
        <v>-54.142703110796774</v>
      </c>
      <c r="EQ16" s="9"/>
      <c r="ER16" s="54">
        <f>7.475+4.949</f>
        <v>12.424</v>
      </c>
      <c r="ES16" s="54">
        <v>24.535</v>
      </c>
      <c r="ET16" s="35">
        <f t="shared" si="33"/>
        <v>-12.111</v>
      </c>
      <c r="EU16" s="52">
        <f t="shared" si="34"/>
        <v>-49.362135724475245</v>
      </c>
      <c r="EV16" s="39">
        <f>47.515+1.92+4.32</f>
        <v>53.755</v>
      </c>
      <c r="EW16" s="39">
        <v>76.107</v>
      </c>
      <c r="EX16" s="41">
        <f t="shared" si="35"/>
        <v>-22.351999999999997</v>
      </c>
      <c r="EY16" s="52">
        <f t="shared" si="36"/>
        <v>-29.369177605213707</v>
      </c>
      <c r="EZ16" s="38">
        <f>126.979+18.218</f>
        <v>145.197</v>
      </c>
      <c r="FA16" s="6"/>
      <c r="FB16" s="6"/>
      <c r="FC16" s="38">
        <v>360.301</v>
      </c>
      <c r="FD16" s="41">
        <f t="shared" si="46"/>
        <v>-215.10399999999998</v>
      </c>
      <c r="FE16" s="52">
        <f t="shared" si="47"/>
        <v>-59.70119427922764</v>
      </c>
      <c r="FF16" s="52"/>
      <c r="FG16" s="52"/>
      <c r="FH16" s="57"/>
      <c r="FI16" s="38"/>
      <c r="FJ16" s="9"/>
      <c r="FK16" s="9"/>
      <c r="FL16" s="122"/>
      <c r="FM16" s="123"/>
      <c r="FN16" s="127"/>
      <c r="FO16" s="128"/>
      <c r="FP16" s="127"/>
      <c r="FQ16" s="144"/>
      <c r="FR16" s="38"/>
      <c r="FS16" s="33"/>
      <c r="FT16" s="51"/>
      <c r="FU16" s="58"/>
      <c r="FV16" s="3"/>
      <c r="FW16" s="24"/>
      <c r="FX16" s="23"/>
      <c r="FY16" s="58"/>
      <c r="FZ16" s="16"/>
      <c r="GA16" s="24"/>
      <c r="GB16" s="3"/>
      <c r="GC16" s="63"/>
      <c r="GD16" s="83"/>
      <c r="GE16" s="27"/>
      <c r="GF16" s="89"/>
      <c r="GG16" s="63"/>
      <c r="GH16" s="16"/>
      <c r="GI16" s="33"/>
      <c r="GJ16" s="9"/>
      <c r="GK16" s="52"/>
      <c r="GL16" s="52"/>
      <c r="GM16" s="41">
        <f t="shared" si="37"/>
        <v>715.554</v>
      </c>
      <c r="GN16" s="41">
        <f t="shared" si="38"/>
        <v>808.3979999999999</v>
      </c>
      <c r="GO16" s="42">
        <f t="shared" si="39"/>
        <v>-92.84399999999994</v>
      </c>
      <c r="GP16" s="47">
        <f t="shared" si="40"/>
        <v>-11.484936875153068</v>
      </c>
      <c r="GQ16" s="37"/>
    </row>
    <row r="17" spans="1:199" ht="26.25" customHeight="1">
      <c r="A17" s="190" t="s">
        <v>43</v>
      </c>
      <c r="B17" s="112">
        <f t="shared" si="2"/>
        <v>125.505</v>
      </c>
      <c r="C17" s="41">
        <f t="shared" si="41"/>
        <v>76.13</v>
      </c>
      <c r="D17" s="38">
        <f t="shared" si="0"/>
        <v>49.375</v>
      </c>
      <c r="E17" s="9">
        <f t="shared" si="42"/>
        <v>64.85616708262182</v>
      </c>
      <c r="F17" s="39">
        <f>5.386+23.995+6.682+26.269+1.498+23.502</f>
        <v>87.332</v>
      </c>
      <c r="G17" s="39">
        <v>44.721</v>
      </c>
      <c r="H17" s="70">
        <f t="shared" si="3"/>
        <v>42.611</v>
      </c>
      <c r="I17" s="52">
        <f t="shared" si="4"/>
        <v>95.28185863464591</v>
      </c>
      <c r="J17" s="16"/>
      <c r="K17" s="16"/>
      <c r="L17" s="16"/>
      <c r="M17" s="6"/>
      <c r="N17" s="38">
        <v>23.611</v>
      </c>
      <c r="O17" s="38">
        <v>31.409</v>
      </c>
      <c r="P17" s="38">
        <f t="shared" si="5"/>
        <v>-7.797999999999998</v>
      </c>
      <c r="Q17" s="16"/>
      <c r="R17" s="16"/>
      <c r="S17" s="16" t="e">
        <f>IF(#REF!=0,0,Q17/#REF!*100)</f>
        <v>#REF!</v>
      </c>
      <c r="T17" s="35">
        <f t="shared" si="6"/>
        <v>-24.827278805437928</v>
      </c>
      <c r="U17" s="38">
        <v>14.562</v>
      </c>
      <c r="V17" s="6"/>
      <c r="W17" s="6"/>
      <c r="X17" s="9"/>
      <c r="Y17" s="38"/>
      <c r="Z17" s="104">
        <f t="shared" si="7"/>
        <v>14.562</v>
      </c>
      <c r="AA17" s="2"/>
      <c r="AB17" s="51"/>
      <c r="AC17" s="51"/>
      <c r="AD17" s="51"/>
      <c r="AE17" s="51"/>
      <c r="AF17" s="9"/>
      <c r="AG17" s="33"/>
      <c r="AH17" s="9"/>
      <c r="AI17" s="9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101">
        <v>0</v>
      </c>
      <c r="AU17" s="2"/>
      <c r="AV17" s="2"/>
      <c r="AW17" s="3"/>
      <c r="AX17" s="2"/>
      <c r="AY17" s="2"/>
      <c r="AZ17" s="2"/>
      <c r="BA17" s="3"/>
      <c r="BB17" s="101">
        <v>0</v>
      </c>
      <c r="BC17" s="41">
        <f t="shared" si="8"/>
        <v>0</v>
      </c>
      <c r="BD17" s="52"/>
      <c r="BE17" s="41">
        <f t="shared" si="10"/>
        <v>89.484</v>
      </c>
      <c r="BF17" s="41">
        <f t="shared" si="11"/>
        <v>101.755</v>
      </c>
      <c r="BG17" s="52">
        <f t="shared" si="12"/>
        <v>-12.271</v>
      </c>
      <c r="BH17" s="52">
        <f t="shared" si="13"/>
        <v>-12.059358262493248</v>
      </c>
      <c r="BI17" s="41">
        <f t="shared" si="14"/>
        <v>0.903</v>
      </c>
      <c r="BJ17" s="52">
        <f t="shared" si="15"/>
        <v>2.561</v>
      </c>
      <c r="BK17" s="52">
        <f t="shared" si="16"/>
        <v>-1.658</v>
      </c>
      <c r="BL17" s="52">
        <f t="shared" si="44"/>
        <v>-64.74033580632565</v>
      </c>
      <c r="BM17" s="6"/>
      <c r="BN17" s="6"/>
      <c r="BO17" s="6"/>
      <c r="BP17" s="9"/>
      <c r="BQ17" s="6"/>
      <c r="BR17" s="41"/>
      <c r="BS17" s="52"/>
      <c r="BT17" s="39"/>
      <c r="BU17" s="2"/>
      <c r="BV17" s="2"/>
      <c r="BW17" s="2"/>
      <c r="BX17" s="2"/>
      <c r="BY17" s="50">
        <f t="shared" si="17"/>
        <v>0</v>
      </c>
      <c r="BZ17" s="2"/>
      <c r="CA17" s="52">
        <v>0</v>
      </c>
      <c r="CB17" s="39"/>
      <c r="CC17" s="6"/>
      <c r="CD17" s="6"/>
      <c r="CE17" s="6"/>
      <c r="CF17" s="38"/>
      <c r="CG17" s="41"/>
      <c r="CH17" s="52"/>
      <c r="CI17" s="54">
        <v>0.903</v>
      </c>
      <c r="CJ17" s="6"/>
      <c r="CK17" s="6"/>
      <c r="CL17" s="9"/>
      <c r="CM17" s="54">
        <v>2.561</v>
      </c>
      <c r="CN17" s="71">
        <f t="shared" si="48"/>
        <v>-1.658</v>
      </c>
      <c r="CO17" s="52">
        <f t="shared" si="18"/>
        <v>-64.74033580632565</v>
      </c>
      <c r="CP17" s="52">
        <f t="shared" si="19"/>
        <v>88.58099999999999</v>
      </c>
      <c r="CQ17" s="52">
        <f t="shared" si="20"/>
        <v>99.19399999999999</v>
      </c>
      <c r="CR17" s="52">
        <f t="shared" si="21"/>
        <v>-10.613</v>
      </c>
      <c r="CS17" s="52">
        <f t="shared" si="22"/>
        <v>-10.699235840877478</v>
      </c>
      <c r="CT17" s="54">
        <v>1.503</v>
      </c>
      <c r="CU17" s="6"/>
      <c r="CV17" s="6"/>
      <c r="CW17" s="9"/>
      <c r="CX17" s="39">
        <v>5.597</v>
      </c>
      <c r="CY17" s="41">
        <f t="shared" si="23"/>
        <v>-4.094</v>
      </c>
      <c r="CZ17" s="52">
        <f t="shared" si="24"/>
        <v>-73.14632839020905</v>
      </c>
      <c r="DA17" s="39">
        <v>73.868</v>
      </c>
      <c r="DB17" s="6"/>
      <c r="DC17" s="6"/>
      <c r="DD17" s="9"/>
      <c r="DE17" s="39">
        <v>79.744</v>
      </c>
      <c r="DF17" s="41">
        <f t="shared" si="25"/>
        <v>-5.876000000000005</v>
      </c>
      <c r="DG17" s="52">
        <f t="shared" si="26"/>
        <v>-7.36857945425362</v>
      </c>
      <c r="DH17" s="54">
        <v>0.472</v>
      </c>
      <c r="DI17" s="6"/>
      <c r="DJ17" s="6"/>
      <c r="DK17" s="9"/>
      <c r="DL17" s="54">
        <v>2.431</v>
      </c>
      <c r="DM17" s="35">
        <f t="shared" si="27"/>
        <v>-1.959</v>
      </c>
      <c r="DN17" s="52">
        <f t="shared" si="28"/>
        <v>-80.58412176059235</v>
      </c>
      <c r="DO17" s="39">
        <v>12.738</v>
      </c>
      <c r="DP17" s="6"/>
      <c r="DQ17" s="6"/>
      <c r="DR17" s="9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9"/>
      <c r="EE17" s="39">
        <v>11.422</v>
      </c>
      <c r="EF17" s="41">
        <f t="shared" si="29"/>
        <v>1.315999999999999</v>
      </c>
      <c r="EG17" s="52">
        <f t="shared" si="30"/>
        <v>11.52162493433724</v>
      </c>
      <c r="EH17" s="39"/>
      <c r="EI17" s="9"/>
      <c r="EJ17" s="9"/>
      <c r="EK17" s="9"/>
      <c r="EL17" s="52"/>
      <c r="EM17" s="41">
        <f t="shared" si="1"/>
        <v>106.988</v>
      </c>
      <c r="EN17" s="41">
        <f t="shared" si="45"/>
        <v>125.524</v>
      </c>
      <c r="EO17" s="41">
        <f t="shared" si="31"/>
        <v>-18.536</v>
      </c>
      <c r="EP17" s="52">
        <f t="shared" si="32"/>
        <v>-14.766897167075626</v>
      </c>
      <c r="EQ17" s="9"/>
      <c r="ER17" s="54">
        <f>33.198+5.865</f>
        <v>39.063</v>
      </c>
      <c r="ES17" s="39">
        <v>12.44</v>
      </c>
      <c r="ET17" s="35">
        <f t="shared" si="33"/>
        <v>26.623000000000005</v>
      </c>
      <c r="EU17" s="52">
        <f t="shared" si="34"/>
        <v>214.0112540192926</v>
      </c>
      <c r="EV17" s="39">
        <f>1.92+22.14+3.678</f>
        <v>27.738000000000003</v>
      </c>
      <c r="EW17" s="39">
        <v>25.034</v>
      </c>
      <c r="EX17" s="41">
        <f t="shared" si="35"/>
        <v>2.704000000000004</v>
      </c>
      <c r="EY17" s="52">
        <f t="shared" si="36"/>
        <v>10.801310218103396</v>
      </c>
      <c r="EZ17" s="38">
        <f>38.187+2</f>
        <v>40.187</v>
      </c>
      <c r="FA17" s="6"/>
      <c r="FB17" s="6"/>
      <c r="FC17" s="38">
        <v>88.05</v>
      </c>
      <c r="FD17" s="41">
        <f t="shared" si="46"/>
        <v>-47.863</v>
      </c>
      <c r="FE17" s="52">
        <f t="shared" si="47"/>
        <v>-54.358886996024985</v>
      </c>
      <c r="FF17" s="52"/>
      <c r="FG17" s="52"/>
      <c r="FH17" s="57"/>
      <c r="FI17" s="9"/>
      <c r="FJ17" s="9"/>
      <c r="FK17" s="9"/>
      <c r="FL17" s="122"/>
      <c r="FM17" s="123"/>
      <c r="FN17" s="125"/>
      <c r="FO17" s="126"/>
      <c r="FP17" s="127"/>
      <c r="FQ17" s="146"/>
      <c r="FR17" s="40"/>
      <c r="FS17" s="28"/>
      <c r="FT17" s="29"/>
      <c r="FU17" s="59"/>
      <c r="FV17" s="10"/>
      <c r="FW17" s="20"/>
      <c r="FX17" s="22"/>
      <c r="FY17" s="59"/>
      <c r="FZ17" s="31"/>
      <c r="GA17" s="20"/>
      <c r="GB17" s="10"/>
      <c r="GC17" s="64"/>
      <c r="GD17" s="86"/>
      <c r="GE17" s="9"/>
      <c r="GF17" s="88"/>
      <c r="GG17" s="64"/>
      <c r="GH17" s="40"/>
      <c r="GI17" s="28"/>
      <c r="GJ17" s="27"/>
      <c r="GK17" s="9"/>
      <c r="GL17" s="9"/>
      <c r="GM17" s="41">
        <f t="shared" si="37"/>
        <v>321.977</v>
      </c>
      <c r="GN17" s="41">
        <f t="shared" si="38"/>
        <v>303.409</v>
      </c>
      <c r="GO17" s="38">
        <f t="shared" si="39"/>
        <v>18.567999999999984</v>
      </c>
      <c r="GP17" s="47">
        <f t="shared" si="40"/>
        <v>6.119792095817857</v>
      </c>
      <c r="GQ17" s="37"/>
    </row>
    <row r="18" spans="1:199" ht="12.75">
      <c r="A18" s="11"/>
      <c r="B18" s="112"/>
      <c r="C18" s="41"/>
      <c r="D18" s="41"/>
      <c r="E18" s="113"/>
      <c r="F18" s="6"/>
      <c r="G18" s="6"/>
      <c r="H18" s="70"/>
      <c r="I18" s="52"/>
      <c r="J18" s="16"/>
      <c r="K18" s="16"/>
      <c r="L18" s="16"/>
      <c r="M18" s="6"/>
      <c r="N18" s="38"/>
      <c r="O18" s="38"/>
      <c r="P18" s="38"/>
      <c r="Q18" s="6"/>
      <c r="R18" s="6"/>
      <c r="S18" s="6">
        <f t="shared" si="43"/>
        <v>0</v>
      </c>
      <c r="T18" s="35"/>
      <c r="U18" s="6"/>
      <c r="V18" s="6"/>
      <c r="W18" s="6"/>
      <c r="X18" s="6"/>
      <c r="Y18" s="99"/>
      <c r="Z18" s="104"/>
      <c r="AA18" s="2"/>
      <c r="AB18" s="99"/>
      <c r="AC18" s="99"/>
      <c r="AD18" s="99"/>
      <c r="AE18" s="14"/>
      <c r="AF18" s="136"/>
      <c r="AG18" s="99"/>
      <c r="AH18" s="6"/>
      <c r="AI18" s="6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01"/>
      <c r="AU18" s="2"/>
      <c r="AV18" s="2"/>
      <c r="AW18" s="3"/>
      <c r="AX18" s="2"/>
      <c r="AY18" s="2"/>
      <c r="BA18" s="3"/>
      <c r="BB18" s="3"/>
      <c r="BC18" s="41"/>
      <c r="BD18" s="52"/>
      <c r="BE18" s="41"/>
      <c r="BF18" s="41"/>
      <c r="BG18" s="52"/>
      <c r="BH18" s="52"/>
      <c r="BI18" s="41"/>
      <c r="BJ18" s="52"/>
      <c r="BK18" s="52"/>
      <c r="BL18" s="52"/>
      <c r="BM18" s="6"/>
      <c r="BN18" s="6"/>
      <c r="BO18" s="6"/>
      <c r="BP18" s="6"/>
      <c r="BQ18" s="16"/>
      <c r="BR18" s="41"/>
      <c r="BS18" s="52"/>
      <c r="BT18" s="54"/>
      <c r="BU18" s="2"/>
      <c r="BV18" s="2"/>
      <c r="BW18" s="2"/>
      <c r="BX18" s="2"/>
      <c r="BY18" s="50"/>
      <c r="BZ18" s="2"/>
      <c r="CA18" s="52"/>
      <c r="CB18" s="39"/>
      <c r="CC18" s="6"/>
      <c r="CD18" s="6"/>
      <c r="CE18" s="9"/>
      <c r="CF18" s="38"/>
      <c r="CG18" s="41"/>
      <c r="CH18" s="52"/>
      <c r="CI18" s="54"/>
      <c r="CJ18" s="6"/>
      <c r="CK18" s="6"/>
      <c r="CL18" s="9"/>
      <c r="CM18" s="9"/>
      <c r="CN18" s="71"/>
      <c r="CO18" s="52"/>
      <c r="CP18" s="52"/>
      <c r="CQ18" s="52"/>
      <c r="CR18" s="52"/>
      <c r="CS18" s="52"/>
      <c r="CT18" s="54"/>
      <c r="CU18" s="6"/>
      <c r="CV18" s="6"/>
      <c r="CW18" s="9"/>
      <c r="CX18" s="54"/>
      <c r="CY18" s="41"/>
      <c r="CZ18" s="52"/>
      <c r="DA18" s="54"/>
      <c r="DB18" s="6"/>
      <c r="DC18" s="6"/>
      <c r="DD18" s="9"/>
      <c r="DE18" s="16"/>
      <c r="DF18" s="41"/>
      <c r="DG18" s="52"/>
      <c r="DH18" s="54"/>
      <c r="DI18" s="6"/>
      <c r="DJ18" s="6"/>
      <c r="DK18" s="9"/>
      <c r="DL18" s="54"/>
      <c r="DM18" s="35"/>
      <c r="DN18" s="52"/>
      <c r="DO18" s="39"/>
      <c r="DP18" s="6"/>
      <c r="DQ18" s="6"/>
      <c r="DR18" s="9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9"/>
      <c r="EE18" s="16"/>
      <c r="EF18" s="41"/>
      <c r="EG18" s="52"/>
      <c r="EH18" s="55"/>
      <c r="EI18" s="6"/>
      <c r="EJ18" s="6"/>
      <c r="EK18" s="6"/>
      <c r="EL18" s="71"/>
      <c r="EM18" s="41"/>
      <c r="EN18" s="41"/>
      <c r="EO18" s="41"/>
      <c r="EP18" s="52"/>
      <c r="EQ18" s="9"/>
      <c r="ER18" s="54"/>
      <c r="ES18" s="16"/>
      <c r="ET18" s="35"/>
      <c r="EU18" s="52"/>
      <c r="EV18" s="56"/>
      <c r="EW18" s="56"/>
      <c r="EX18" s="41"/>
      <c r="EY18" s="52"/>
      <c r="EZ18" s="56"/>
      <c r="FA18" s="6"/>
      <c r="FB18" s="6"/>
      <c r="FC18" s="56"/>
      <c r="FD18" s="41"/>
      <c r="FE18" s="52"/>
      <c r="FF18" s="52"/>
      <c r="FG18" s="52"/>
      <c r="FH18" s="57"/>
      <c r="FI18" s="9"/>
      <c r="FJ18" s="9"/>
      <c r="FK18" s="9"/>
      <c r="FL18" s="122"/>
      <c r="FM18" s="129"/>
      <c r="FN18" s="127"/>
      <c r="FO18" s="128"/>
      <c r="FP18" s="127"/>
      <c r="FQ18" s="144"/>
      <c r="FR18" s="9"/>
      <c r="FS18" s="33"/>
      <c r="FT18" s="51"/>
      <c r="FU18" s="58"/>
      <c r="FV18" s="3"/>
      <c r="FW18" s="24"/>
      <c r="FX18" s="23"/>
      <c r="FY18" s="58"/>
      <c r="FZ18" s="16"/>
      <c r="GA18" s="24"/>
      <c r="GB18" s="3"/>
      <c r="GC18" s="63"/>
      <c r="GD18" s="84"/>
      <c r="GE18" s="27"/>
      <c r="GF18" s="89"/>
      <c r="GG18" s="63"/>
      <c r="GH18" s="16"/>
      <c r="GI18" s="33"/>
      <c r="GJ18" s="9"/>
      <c r="GK18" s="52"/>
      <c r="GL18" s="52"/>
      <c r="GM18" s="41"/>
      <c r="GN18" s="41"/>
      <c r="GO18" s="28"/>
      <c r="GP18" s="47"/>
      <c r="GQ18" s="37"/>
    </row>
    <row r="19" spans="1:199" ht="12.75">
      <c r="A19" s="12"/>
      <c r="B19" s="112"/>
      <c r="C19" s="41"/>
      <c r="D19" s="38"/>
      <c r="E19" s="6"/>
      <c r="F19" s="6"/>
      <c r="G19" s="6"/>
      <c r="H19" s="70"/>
      <c r="I19" s="52"/>
      <c r="J19" s="16"/>
      <c r="K19" s="16"/>
      <c r="L19" s="16"/>
      <c r="M19" s="6"/>
      <c r="N19" s="38"/>
      <c r="O19" s="6"/>
      <c r="P19" s="38"/>
      <c r="Q19" s="6">
        <v>1800</v>
      </c>
      <c r="R19" s="6">
        <f>P19-Q19</f>
        <v>-1800</v>
      </c>
      <c r="S19" s="9">
        <f>P19/Q19*100</f>
        <v>0</v>
      </c>
      <c r="T19" s="35"/>
      <c r="U19" s="6"/>
      <c r="V19" s="6"/>
      <c r="W19" s="6"/>
      <c r="X19" s="6"/>
      <c r="Y19" s="99"/>
      <c r="Z19" s="104"/>
      <c r="AA19" s="2"/>
      <c r="AB19" s="99"/>
      <c r="AC19" s="99"/>
      <c r="AD19" s="99"/>
      <c r="AE19" s="99"/>
      <c r="AF19" s="6"/>
      <c r="AG19" s="136"/>
      <c r="AH19" s="6"/>
      <c r="AI19" s="6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1"/>
      <c r="AU19" s="2">
        <v>19044</v>
      </c>
      <c r="AV19" s="2">
        <f>AT19-AU19</f>
        <v>-19044</v>
      </c>
      <c r="AW19" s="3">
        <f>AT19/AU19*100</f>
        <v>0</v>
      </c>
      <c r="AX19" s="2"/>
      <c r="AY19" s="2">
        <v>1712599.77</v>
      </c>
      <c r="AZ19" s="2">
        <f>AX19-AY19</f>
        <v>-1712599.77</v>
      </c>
      <c r="BA19" s="3">
        <f>AX19/AY19*100</f>
        <v>0</v>
      </c>
      <c r="BB19" s="3"/>
      <c r="BC19" s="41"/>
      <c r="BD19" s="52"/>
      <c r="BE19" s="41"/>
      <c r="BF19" s="41"/>
      <c r="BG19" s="52"/>
      <c r="BH19" s="52"/>
      <c r="BI19" s="41"/>
      <c r="BJ19" s="52"/>
      <c r="BK19" s="52"/>
      <c r="BL19" s="52"/>
      <c r="BM19" s="6"/>
      <c r="BN19" s="6"/>
      <c r="BO19" s="6"/>
      <c r="BP19" s="6"/>
      <c r="BQ19" s="16"/>
      <c r="BR19" s="41"/>
      <c r="BS19" s="52"/>
      <c r="BT19" s="54"/>
      <c r="BU19" s="2"/>
      <c r="BV19" s="2"/>
      <c r="BW19" s="3"/>
      <c r="BX19" s="3"/>
      <c r="BY19" s="50"/>
      <c r="BZ19" s="3"/>
      <c r="CA19" s="52"/>
      <c r="CB19" s="39"/>
      <c r="CC19" s="6"/>
      <c r="CD19" s="6"/>
      <c r="CE19" s="9"/>
      <c r="CF19" s="38"/>
      <c r="CG19" s="41"/>
      <c r="CH19" s="52"/>
      <c r="CI19" s="54"/>
      <c r="CJ19" s="6"/>
      <c r="CK19" s="6"/>
      <c r="CL19" s="9"/>
      <c r="CM19" s="9"/>
      <c r="CN19" s="71"/>
      <c r="CO19" s="52"/>
      <c r="CP19" s="52"/>
      <c r="CQ19" s="52"/>
      <c r="CR19" s="52"/>
      <c r="CS19" s="52"/>
      <c r="CT19" s="54"/>
      <c r="CU19" s="6"/>
      <c r="CV19" s="6"/>
      <c r="CW19" s="9"/>
      <c r="CX19" s="9"/>
      <c r="CY19" s="41"/>
      <c r="CZ19" s="52"/>
      <c r="DA19" s="54"/>
      <c r="DB19" s="6"/>
      <c r="DC19" s="6"/>
      <c r="DD19" s="9"/>
      <c r="DE19" s="9"/>
      <c r="DF19" s="41"/>
      <c r="DG19" s="52"/>
      <c r="DH19" s="54"/>
      <c r="DI19" s="6">
        <v>179972.7</v>
      </c>
      <c r="DJ19" s="6">
        <f>DH19-DI19</f>
        <v>-179972.7</v>
      </c>
      <c r="DK19" s="9">
        <f>DH19/DI19*100</f>
        <v>0</v>
      </c>
      <c r="DL19" s="9"/>
      <c r="DM19" s="35"/>
      <c r="DN19" s="52"/>
      <c r="DO19" s="39"/>
      <c r="DP19" s="6">
        <v>690124.42</v>
      </c>
      <c r="DQ19" s="6">
        <f>DO19-DP19</f>
        <v>-690124.42</v>
      </c>
      <c r="DR19" s="9">
        <f>DO19/DP19*100</f>
        <v>0</v>
      </c>
      <c r="DS19" s="6"/>
      <c r="DT19" s="6">
        <v>25000</v>
      </c>
      <c r="DU19" s="6">
        <f>DS19-DT19</f>
        <v>-25000</v>
      </c>
      <c r="DV19" s="6">
        <v>0</v>
      </c>
      <c r="DW19" s="6"/>
      <c r="DX19" s="6" t="s">
        <v>4</v>
      </c>
      <c r="DY19" s="6"/>
      <c r="DZ19" s="6">
        <f>IF(DW19=0,0,DX19/DW19*100)</f>
        <v>0</v>
      </c>
      <c r="EA19" s="6"/>
      <c r="EB19" s="6">
        <v>958330.24</v>
      </c>
      <c r="EC19" s="6">
        <f>EA19-EB19</f>
        <v>-958330.24</v>
      </c>
      <c r="ED19" s="9">
        <f>EA19/EB19*100</f>
        <v>0</v>
      </c>
      <c r="EE19" s="16"/>
      <c r="EF19" s="41"/>
      <c r="EG19" s="52"/>
      <c r="EH19" s="55"/>
      <c r="EI19" s="6"/>
      <c r="EJ19" s="6"/>
      <c r="EK19" s="6"/>
      <c r="EL19" s="71"/>
      <c r="EM19" s="41"/>
      <c r="EN19" s="41"/>
      <c r="EO19" s="41"/>
      <c r="EP19" s="52"/>
      <c r="EQ19" s="9"/>
      <c r="ER19" s="54"/>
      <c r="ES19" s="16"/>
      <c r="ET19" s="35"/>
      <c r="EU19" s="52"/>
      <c r="EV19" s="56"/>
      <c r="EW19" s="56"/>
      <c r="EX19" s="41"/>
      <c r="EY19" s="52"/>
      <c r="EZ19" s="56"/>
      <c r="FA19" s="6">
        <v>797284.88</v>
      </c>
      <c r="FB19" s="6">
        <f>EZ19-FA19</f>
        <v>-797284.88</v>
      </c>
      <c r="FC19" s="16"/>
      <c r="FD19" s="41"/>
      <c r="FE19" s="52"/>
      <c r="FF19" s="52"/>
      <c r="FG19" s="52"/>
      <c r="FH19" s="57"/>
      <c r="FI19" s="9"/>
      <c r="FJ19" s="9"/>
      <c r="FK19" s="9"/>
      <c r="FL19" s="122"/>
      <c r="FM19" s="130"/>
      <c r="FN19" s="125"/>
      <c r="FO19" s="126"/>
      <c r="FP19" s="127"/>
      <c r="FQ19" s="146"/>
      <c r="FR19" s="27"/>
      <c r="FS19" s="28"/>
      <c r="FT19" s="29"/>
      <c r="FU19" s="59"/>
      <c r="FV19" s="10"/>
      <c r="FW19" s="20"/>
      <c r="FX19" s="22"/>
      <c r="FY19" s="59"/>
      <c r="FZ19" s="31"/>
      <c r="GA19" s="20"/>
      <c r="GB19" s="10"/>
      <c r="GC19" s="64"/>
      <c r="GD19" s="87"/>
      <c r="GE19" s="9"/>
      <c r="GF19" s="88"/>
      <c r="GG19" s="64"/>
      <c r="GH19" s="31"/>
      <c r="GI19" s="28"/>
      <c r="GJ19" s="27"/>
      <c r="GK19" s="9"/>
      <c r="GL19" s="9"/>
      <c r="GM19" s="41"/>
      <c r="GN19" s="41"/>
      <c r="GO19" s="9"/>
      <c r="GP19" s="47"/>
      <c r="GQ19" s="37"/>
    </row>
    <row r="20" spans="1:199" ht="13.5" thickBot="1">
      <c r="A20" s="76"/>
      <c r="B20" s="134"/>
      <c r="C20" s="40"/>
      <c r="D20" s="40"/>
      <c r="E20" s="113"/>
      <c r="F20" s="36"/>
      <c r="G20" s="36"/>
      <c r="H20" s="111"/>
      <c r="I20" s="27"/>
      <c r="J20" s="32"/>
      <c r="K20" s="32"/>
      <c r="L20" s="32"/>
      <c r="M20" s="36"/>
      <c r="N20" s="66"/>
      <c r="O20" s="36"/>
      <c r="P20" s="66"/>
      <c r="Q20" s="36"/>
      <c r="R20" s="36"/>
      <c r="S20" s="36">
        <f t="shared" si="43"/>
        <v>0</v>
      </c>
      <c r="T20" s="31"/>
      <c r="U20" s="36"/>
      <c r="V20" s="36">
        <v>12</v>
      </c>
      <c r="W20" s="36">
        <f>U20-V20</f>
        <v>-12</v>
      </c>
      <c r="X20" s="36">
        <f>IF(U20=0,0,V20/U20*100)</f>
        <v>0</v>
      </c>
      <c r="Y20" s="100"/>
      <c r="Z20" s="173"/>
      <c r="AA20" s="77"/>
      <c r="AB20" s="100"/>
      <c r="AC20" s="100"/>
      <c r="AD20" s="100"/>
      <c r="AE20" s="78"/>
      <c r="AF20" s="137"/>
      <c r="AG20" s="100"/>
      <c r="AH20" s="36"/>
      <c r="AI20" s="36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102"/>
      <c r="AU20" s="77">
        <v>4559.79</v>
      </c>
      <c r="AV20" s="77">
        <f>AT20-AU20</f>
        <v>-4559.79</v>
      </c>
      <c r="AW20" s="4">
        <f>AT20/AU20*100</f>
        <v>0</v>
      </c>
      <c r="AX20" s="77"/>
      <c r="AY20" s="77">
        <v>661054.7</v>
      </c>
      <c r="AZ20">
        <f>AX20-AY20</f>
        <v>-661054.7</v>
      </c>
      <c r="BA20" s="4">
        <f>AX20/AY20*100</f>
        <v>0</v>
      </c>
      <c r="BB20" s="4"/>
      <c r="BC20" s="40"/>
      <c r="BD20" s="27"/>
      <c r="BE20" s="40"/>
      <c r="BF20" s="40"/>
      <c r="BG20" s="27"/>
      <c r="BH20" s="27"/>
      <c r="BI20" s="40"/>
      <c r="BJ20" s="27"/>
      <c r="BK20" s="52"/>
      <c r="BL20" s="27"/>
      <c r="BM20" s="36"/>
      <c r="BN20" s="36"/>
      <c r="BO20" s="36"/>
      <c r="BP20" s="36">
        <f>IF(BM20=0,0,BN20/BM20*100)</f>
        <v>0</v>
      </c>
      <c r="BQ20" s="32"/>
      <c r="BR20" s="40"/>
      <c r="BS20" s="27"/>
      <c r="BT20" s="79"/>
      <c r="BU20" s="77">
        <v>729.58</v>
      </c>
      <c r="BV20" s="77">
        <f>BT20-BU20</f>
        <v>-729.58</v>
      </c>
      <c r="BW20" s="4">
        <f>BT20/BU20*100</f>
        <v>0</v>
      </c>
      <c r="BX20" s="4"/>
      <c r="BY20" s="117"/>
      <c r="BZ20" s="4"/>
      <c r="CA20" s="4"/>
      <c r="CB20" s="103"/>
      <c r="CC20" s="36"/>
      <c r="CD20" s="36"/>
      <c r="CE20" s="36">
        <f>IF(CB20=0,0,CC20/CB20*100)</f>
        <v>0</v>
      </c>
      <c r="CF20" s="66"/>
      <c r="CG20" s="40"/>
      <c r="CH20" s="52"/>
      <c r="CI20" s="79"/>
      <c r="CJ20" s="36">
        <v>4446.05</v>
      </c>
      <c r="CK20" s="36">
        <f>CI20-CJ20</f>
        <v>-4446.05</v>
      </c>
      <c r="CL20" s="30">
        <f>CI20/CJ20*100</f>
        <v>0</v>
      </c>
      <c r="CM20" s="30"/>
      <c r="CN20" s="113"/>
      <c r="CO20" s="27"/>
      <c r="CP20" s="27"/>
      <c r="CQ20" s="27"/>
      <c r="CR20" s="27"/>
      <c r="CS20" s="27"/>
      <c r="CT20" s="79"/>
      <c r="CU20" s="36">
        <v>2265.15</v>
      </c>
      <c r="CV20" s="36">
        <f>CT20-CU20</f>
        <v>-2265.15</v>
      </c>
      <c r="CW20" s="30">
        <f>CT20/CU20*100</f>
        <v>0</v>
      </c>
      <c r="CX20" s="30"/>
      <c r="CY20" s="40"/>
      <c r="CZ20" s="27"/>
      <c r="DA20" s="79"/>
      <c r="DB20" s="36">
        <v>521002.13</v>
      </c>
      <c r="DC20" s="36">
        <f>DA20-DB20</f>
        <v>-521002.13</v>
      </c>
      <c r="DD20" s="30">
        <f>DA20/DB20*100</f>
        <v>0</v>
      </c>
      <c r="DE20" s="30"/>
      <c r="DF20" s="40"/>
      <c r="DG20" s="27"/>
      <c r="DH20" s="79"/>
      <c r="DI20" s="36">
        <v>40747.43</v>
      </c>
      <c r="DJ20" s="36">
        <f>DH20-DI20</f>
        <v>-40747.43</v>
      </c>
      <c r="DK20" s="30">
        <f>DH20/DI20*100</f>
        <v>0</v>
      </c>
      <c r="DL20" s="30"/>
      <c r="DM20" s="31"/>
      <c r="DN20" s="27"/>
      <c r="DO20" s="103"/>
      <c r="DP20" s="36">
        <v>91864.36</v>
      </c>
      <c r="DQ20" s="36">
        <f>DO20-DP20</f>
        <v>-91864.36</v>
      </c>
      <c r="DR20" s="30">
        <f>DO20/DP20*100</f>
        <v>0</v>
      </c>
      <c r="DS20" s="36"/>
      <c r="DT20" s="36"/>
      <c r="DU20" s="36"/>
      <c r="DV20" s="36"/>
      <c r="DW20" s="36"/>
      <c r="DX20" s="36"/>
      <c r="DY20" s="36"/>
      <c r="DZ20" s="36">
        <f>IF(DW20=0,0,DX20/DW20*100)</f>
        <v>0</v>
      </c>
      <c r="EA20" s="36"/>
      <c r="EB20" s="36">
        <v>148195.61</v>
      </c>
      <c r="EC20" s="36">
        <f>EA20-EB20</f>
        <v>-148195.61</v>
      </c>
      <c r="ED20" s="30">
        <f>EA20/EB20*100</f>
        <v>0</v>
      </c>
      <c r="EE20" s="32"/>
      <c r="EF20" s="40"/>
      <c r="EG20" s="27"/>
      <c r="EH20" s="80"/>
      <c r="EI20" s="36"/>
      <c r="EJ20" s="36"/>
      <c r="EK20" s="36"/>
      <c r="EL20" s="113"/>
      <c r="EM20" s="40"/>
      <c r="EN20" s="40"/>
      <c r="EO20" s="40"/>
      <c r="EP20" s="27"/>
      <c r="EQ20" s="30"/>
      <c r="ER20" s="79"/>
      <c r="ES20" s="119"/>
      <c r="ET20" s="31"/>
      <c r="EU20" s="27"/>
      <c r="EV20" s="120"/>
      <c r="EW20" s="32"/>
      <c r="EX20" s="40"/>
      <c r="EY20" s="27"/>
      <c r="EZ20" s="81"/>
      <c r="FA20" s="36">
        <v>107463.61</v>
      </c>
      <c r="FB20" s="36">
        <f>EZ20-FA20</f>
        <v>-107463.61</v>
      </c>
      <c r="FC20" s="32"/>
      <c r="FD20" s="40"/>
      <c r="FE20" s="27"/>
      <c r="FF20" s="27"/>
      <c r="FG20" s="27"/>
      <c r="FH20" s="82"/>
      <c r="FI20" s="30"/>
      <c r="FJ20" s="30"/>
      <c r="FK20" s="30"/>
      <c r="FL20" s="124"/>
      <c r="FM20" s="131"/>
      <c r="FN20" s="132"/>
      <c r="FO20" s="133"/>
      <c r="FP20" s="132"/>
      <c r="FQ20" s="147"/>
      <c r="FR20" s="30"/>
      <c r="FS20" s="34"/>
      <c r="FT20" s="47"/>
      <c r="FU20" s="60"/>
      <c r="FV20" s="4"/>
      <c r="FW20" s="25"/>
      <c r="FX20" s="21"/>
      <c r="FY20" s="60"/>
      <c r="FZ20" s="32"/>
      <c r="GA20" s="25"/>
      <c r="GB20" s="4"/>
      <c r="GC20" s="65"/>
      <c r="GD20" s="93"/>
      <c r="GE20" s="27"/>
      <c r="GF20" s="92"/>
      <c r="GG20" s="65"/>
      <c r="GH20" s="32"/>
      <c r="GI20" s="34"/>
      <c r="GJ20" s="30"/>
      <c r="GK20" s="28"/>
      <c r="GL20" s="28"/>
      <c r="GM20" s="40"/>
      <c r="GN20" s="40"/>
      <c r="GO20" s="28"/>
      <c r="GP20" s="47"/>
      <c r="GQ20" s="37"/>
    </row>
    <row r="21" spans="1:203" ht="19.5" customHeight="1" thickBot="1">
      <c r="A21" s="149" t="s">
        <v>2</v>
      </c>
      <c r="B21" s="150">
        <f>SUM(B8:B20)</f>
        <v>12528.841999999997</v>
      </c>
      <c r="C21" s="150">
        <f>SUM(C8:C20)</f>
        <v>11114.577</v>
      </c>
      <c r="D21" s="150">
        <f t="shared" si="0"/>
        <v>1414.2649999999976</v>
      </c>
      <c r="E21" s="166">
        <f t="shared" si="42"/>
        <v>12.724415872956712</v>
      </c>
      <c r="F21" s="151">
        <f>SUM(F8:F20)</f>
        <v>10745.902999999998</v>
      </c>
      <c r="G21" s="150">
        <f>G8+G9+G10+G11+G12+G13+G14+G15+G16+G17</f>
        <v>9610.597999999998</v>
      </c>
      <c r="H21" s="152">
        <f t="shared" si="3"/>
        <v>1135.3050000000003</v>
      </c>
      <c r="I21" s="153">
        <f t="shared" si="4"/>
        <v>11.813052632104686</v>
      </c>
      <c r="J21" s="154">
        <f>J8</f>
        <v>487.86</v>
      </c>
      <c r="K21" s="154">
        <f>K8</f>
        <v>447.579</v>
      </c>
      <c r="L21" s="154">
        <f>L8</f>
        <v>40.281000000000006</v>
      </c>
      <c r="M21" s="155">
        <f>M8</f>
        <v>8.999751999088417</v>
      </c>
      <c r="N21" s="154">
        <f>N8+N9+N11+N12+N13+N14+N15+N16+N17+N10</f>
        <v>761.0620000000001</v>
      </c>
      <c r="O21" s="156">
        <f>O8+O9+O10+O11+O12+O13+O14+O15+O16+O17</f>
        <v>714.3509999999999</v>
      </c>
      <c r="P21" s="150">
        <f t="shared" si="5"/>
        <v>46.71100000000024</v>
      </c>
      <c r="Q21" s="157">
        <f>SUM(Q8:Q20)</f>
        <v>4436</v>
      </c>
      <c r="R21" s="158">
        <f>P21-Q21</f>
        <v>-4389.289</v>
      </c>
      <c r="S21" s="159">
        <f>P21/Q21*100</f>
        <v>1.0529981965734951</v>
      </c>
      <c r="T21" s="172">
        <f t="shared" si="6"/>
        <v>6.53894234067009</v>
      </c>
      <c r="U21" s="160">
        <f>SUM(U8:U20)</f>
        <v>534.0169999999999</v>
      </c>
      <c r="V21" s="158">
        <f>SUM(V8:V20)</f>
        <v>12</v>
      </c>
      <c r="W21" s="158">
        <f>U21-V21</f>
        <v>522.0169999999999</v>
      </c>
      <c r="X21" s="155">
        <f>U21/V21*100</f>
        <v>4450.141666666666</v>
      </c>
      <c r="Y21" s="156">
        <f>SUM(Y8:Y20)</f>
        <v>342.04900000000004</v>
      </c>
      <c r="Z21" s="169">
        <f t="shared" si="7"/>
        <v>191.9679999999999</v>
      </c>
      <c r="AA21" s="191">
        <f>U21/Y21*100-100</f>
        <v>56.122953144140126</v>
      </c>
      <c r="AB21" s="161"/>
      <c r="AC21" s="150">
        <f aca="true" t="shared" si="49" ref="AC21:AK21">AC8</f>
        <v>0</v>
      </c>
      <c r="AD21" s="151">
        <f t="shared" si="49"/>
        <v>0</v>
      </c>
      <c r="AE21" s="162">
        <f t="shared" si="49"/>
        <v>0</v>
      </c>
      <c r="AF21" s="150">
        <f>SUM(AF8:AF20)</f>
        <v>47.507</v>
      </c>
      <c r="AG21" s="150">
        <f t="shared" si="49"/>
        <v>56.2</v>
      </c>
      <c r="AH21" s="169">
        <f t="shared" si="49"/>
        <v>1.704</v>
      </c>
      <c r="AI21" s="150">
        <f t="shared" si="49"/>
        <v>1.333</v>
      </c>
      <c r="AJ21" s="151">
        <f t="shared" si="49"/>
        <v>0.194</v>
      </c>
      <c r="AK21" s="150">
        <f t="shared" si="49"/>
        <v>0.168</v>
      </c>
      <c r="AL21" s="151">
        <f>SUM(AL8:AL20)</f>
        <v>294.717</v>
      </c>
      <c r="AM21" s="150">
        <f>AM8</f>
        <v>187.982</v>
      </c>
      <c r="AN21" s="163"/>
      <c r="AO21" s="174"/>
      <c r="AP21" s="157">
        <f>SUM(AP8:AP20)</f>
        <v>992.948</v>
      </c>
      <c r="AQ21" s="151">
        <f>AQ8</f>
        <v>607.749</v>
      </c>
      <c r="AR21" s="174"/>
      <c r="AS21" s="163"/>
      <c r="AT21" s="150">
        <f>SUM(AT8:AT20)</f>
        <v>499.356</v>
      </c>
      <c r="AU21" s="157">
        <f>SUM(AU8:AU20)</f>
        <v>23603.79</v>
      </c>
      <c r="AV21" s="158">
        <f>AT21-AU21</f>
        <v>-23104.434</v>
      </c>
      <c r="AW21" s="155">
        <f>AT21/AU21*100</f>
        <v>2.115575507153724</v>
      </c>
      <c r="AX21" s="158">
        <f>SUM(AX8:AX20)</f>
        <v>0</v>
      </c>
      <c r="AY21" s="158">
        <f>SUM(AY8:AY20)</f>
        <v>2373654.4699999997</v>
      </c>
      <c r="AZ21" s="164">
        <f>AX21-AY21</f>
        <v>-2373654.4699999997</v>
      </c>
      <c r="BA21" s="155">
        <f>AX21/AY21*100</f>
        <v>0</v>
      </c>
      <c r="BB21" s="156">
        <f>BB8+BB9+BB11+BB12+BB13+BB14+BB15+BB16+BB10</f>
        <v>437.764</v>
      </c>
      <c r="BC21" s="150">
        <f t="shared" si="8"/>
        <v>61.591999999999985</v>
      </c>
      <c r="BD21" s="165">
        <f t="shared" si="9"/>
        <v>14.069681380835334</v>
      </c>
      <c r="BE21" s="150">
        <f t="shared" si="10"/>
        <v>3056.0670000000005</v>
      </c>
      <c r="BF21" s="150">
        <f t="shared" si="11"/>
        <v>2652.8779999999997</v>
      </c>
      <c r="BG21" s="166">
        <f t="shared" si="12"/>
        <v>403.18900000000076</v>
      </c>
      <c r="BH21" s="166">
        <f t="shared" si="13"/>
        <v>15.19817345539451</v>
      </c>
      <c r="BI21" s="150">
        <f t="shared" si="14"/>
        <v>438.27000000000004</v>
      </c>
      <c r="BJ21" s="150">
        <f t="shared" si="15"/>
        <v>408.27</v>
      </c>
      <c r="BK21" s="161">
        <f>BI21-BJ21</f>
        <v>30.000000000000057</v>
      </c>
      <c r="BL21" s="166">
        <f t="shared" si="44"/>
        <v>7.348078477478154</v>
      </c>
      <c r="BM21" s="160">
        <f>SUM(BM8:BM20)</f>
        <v>11.515999999999998</v>
      </c>
      <c r="BN21" s="158">
        <f>SUM(BN8:BN20)</f>
        <v>0</v>
      </c>
      <c r="BO21" s="158">
        <f>SUM(BO8:BO20)</f>
        <v>0</v>
      </c>
      <c r="BP21" s="158">
        <f>SUM(BP8:BP20)</f>
        <v>0</v>
      </c>
      <c r="BQ21" s="156">
        <f>SUM(BQ8:BQ20)</f>
        <v>9.833000000000002</v>
      </c>
      <c r="BR21" s="150">
        <f>BM21-BQ21</f>
        <v>1.6829999999999963</v>
      </c>
      <c r="BS21" s="166">
        <f>BM21/BQ21*100-100</f>
        <v>17.11583443506555</v>
      </c>
      <c r="BT21" s="160">
        <f>SUM(BT8:BT20)</f>
        <v>2.226</v>
      </c>
      <c r="BU21" s="158">
        <f>SUM(BU8:BU20)</f>
        <v>729.58</v>
      </c>
      <c r="BV21" s="158">
        <f>BT21-BU21</f>
        <v>-727.354</v>
      </c>
      <c r="BW21" s="155">
        <f>BT21/BU21*100</f>
        <v>0.30510704789056714</v>
      </c>
      <c r="BX21" s="156">
        <f>SUM(BX8:BX20)</f>
        <v>5.804</v>
      </c>
      <c r="BY21" s="167">
        <f>BT21-BX21</f>
        <v>-3.5780000000000003</v>
      </c>
      <c r="BZ21" s="168"/>
      <c r="CA21" s="155">
        <f>BT21/BX21*100-100</f>
        <v>-61.64713990351482</v>
      </c>
      <c r="CB21" s="154">
        <f>SUM(CB8:CB20)</f>
        <v>89.436</v>
      </c>
      <c r="CC21" s="158">
        <f>SUM(CC8:CC20)</f>
        <v>0</v>
      </c>
      <c r="CD21" s="158">
        <f>CB21-CC21</f>
        <v>89.436</v>
      </c>
      <c r="CE21" s="155" t="e">
        <f>CB21/CC21*100</f>
        <v>#DIV/0!</v>
      </c>
      <c r="CF21" s="156">
        <f>SUM(CF8:CF20)</f>
        <v>16.343</v>
      </c>
      <c r="CG21" s="150">
        <f>CB21-CF21</f>
        <v>73.093</v>
      </c>
      <c r="CH21" s="166">
        <f>CB21/CF21*100-100</f>
        <v>447.24346815150216</v>
      </c>
      <c r="CI21" s="160">
        <f>SUM(CI8:CI20)</f>
        <v>335.09200000000004</v>
      </c>
      <c r="CJ21" s="158">
        <f>SUM(CJ8:CJ20)</f>
        <v>4446.05</v>
      </c>
      <c r="CK21" s="158">
        <f>SUM(CK8:CK20)</f>
        <v>-4446.05</v>
      </c>
      <c r="CL21" s="158">
        <f>SUM(CL8:CL20)</f>
        <v>0</v>
      </c>
      <c r="CM21" s="156">
        <f>SUM(CM8:CM20)</f>
        <v>376.28999999999996</v>
      </c>
      <c r="CN21" s="175">
        <f t="shared" si="48"/>
        <v>-41.19799999999992</v>
      </c>
      <c r="CO21" s="166">
        <f>CI21/CM21*100-100</f>
        <v>-10.94847059448827</v>
      </c>
      <c r="CP21" s="166">
        <f t="shared" si="19"/>
        <v>2605.2970000000005</v>
      </c>
      <c r="CQ21" s="166">
        <f t="shared" si="20"/>
        <v>2225.2079999999996</v>
      </c>
      <c r="CR21" s="166">
        <f t="shared" si="21"/>
        <v>380.08900000000085</v>
      </c>
      <c r="CS21" s="166">
        <f t="shared" si="22"/>
        <v>17.0810548946436</v>
      </c>
      <c r="CT21" s="160">
        <f>SUM(CT8:CT20)</f>
        <v>411.69100000000003</v>
      </c>
      <c r="CU21" s="158">
        <f>SUM(CU8:CU20)</f>
        <v>2265.15</v>
      </c>
      <c r="CV21" s="158">
        <f>SUM(CV8:CV20)</f>
        <v>-2265.15</v>
      </c>
      <c r="CW21" s="158">
        <f>SUM(CW8:CW20)</f>
        <v>0</v>
      </c>
      <c r="CX21" s="156">
        <f>CX8+CX9+CX10+CX11+CX12+CX13+CX14+CX15+CX16+CX17</f>
        <v>345.69100000000003</v>
      </c>
      <c r="CY21" s="169">
        <f t="shared" si="23"/>
        <v>66</v>
      </c>
      <c r="CZ21" s="166">
        <f t="shared" si="24"/>
        <v>19.092195052807284</v>
      </c>
      <c r="DA21" s="160">
        <f>SUM(DA8:DA20)</f>
        <v>1651.15</v>
      </c>
      <c r="DB21" s="158">
        <f>SUM(DB8:DB20)</f>
        <v>521002.13</v>
      </c>
      <c r="DC21" s="158">
        <f>SUM(DC8:DC20)</f>
        <v>-521002.13</v>
      </c>
      <c r="DD21" s="158">
        <f>SUM(DD8:DD20)</f>
        <v>0</v>
      </c>
      <c r="DE21" s="156">
        <f>SUM(DE8:DE20)</f>
        <v>1477.8899999999999</v>
      </c>
      <c r="DF21" s="169">
        <f t="shared" si="25"/>
        <v>173.26000000000022</v>
      </c>
      <c r="DG21" s="166">
        <f t="shared" si="26"/>
        <v>11.72347062365941</v>
      </c>
      <c r="DH21" s="160">
        <f>SUM(DH8:DH20)</f>
        <v>34.283</v>
      </c>
      <c r="DI21" s="158">
        <f>SUM(DI8:DI20)</f>
        <v>220720.13</v>
      </c>
      <c r="DJ21" s="158">
        <f>SUM(DJ8:DJ20)</f>
        <v>-220720.13</v>
      </c>
      <c r="DK21" s="158">
        <f>SUM(DK8:DK20)</f>
        <v>0</v>
      </c>
      <c r="DL21" s="156">
        <f>SUM(DL8:DL20)</f>
        <v>47.98999999999999</v>
      </c>
      <c r="DM21" s="170">
        <f t="shared" si="27"/>
        <v>-13.706999999999987</v>
      </c>
      <c r="DN21" s="166">
        <f>DH21/DL21*100-100</f>
        <v>-28.56220045842882</v>
      </c>
      <c r="DO21" s="160">
        <f>SUM(DO8:DO20)</f>
        <v>508.173</v>
      </c>
      <c r="DP21" s="158">
        <f aca="true" t="shared" si="50" ref="DP21:EE21">SUM(DP8:DP20)</f>
        <v>781988.78</v>
      </c>
      <c r="DQ21" s="158">
        <f t="shared" si="50"/>
        <v>-781988.78</v>
      </c>
      <c r="DR21" s="158">
        <f t="shared" si="50"/>
        <v>0</v>
      </c>
      <c r="DS21" s="158">
        <f t="shared" si="50"/>
        <v>0</v>
      </c>
      <c r="DT21" s="158">
        <f t="shared" si="50"/>
        <v>25000</v>
      </c>
      <c r="DU21" s="158">
        <f t="shared" si="50"/>
        <v>-25000</v>
      </c>
      <c r="DV21" s="158">
        <f t="shared" si="50"/>
        <v>0</v>
      </c>
      <c r="DW21" s="158">
        <f t="shared" si="50"/>
        <v>0</v>
      </c>
      <c r="DX21" s="158">
        <f t="shared" si="50"/>
        <v>0</v>
      </c>
      <c r="DY21" s="158">
        <f t="shared" si="50"/>
        <v>0</v>
      </c>
      <c r="DZ21" s="158">
        <f t="shared" si="50"/>
        <v>0</v>
      </c>
      <c r="EA21" s="158">
        <f t="shared" si="50"/>
        <v>0</v>
      </c>
      <c r="EB21" s="158">
        <f t="shared" si="50"/>
        <v>1106525.85</v>
      </c>
      <c r="EC21" s="158">
        <f t="shared" si="50"/>
        <v>-1106525.85</v>
      </c>
      <c r="ED21" s="158">
        <f t="shared" si="50"/>
        <v>0</v>
      </c>
      <c r="EE21" s="156">
        <f t="shared" si="50"/>
        <v>353.63699999999994</v>
      </c>
      <c r="EF21" s="169">
        <f t="shared" si="29"/>
        <v>154.53600000000006</v>
      </c>
      <c r="EG21" s="166">
        <f t="shared" si="30"/>
        <v>43.699047328192506</v>
      </c>
      <c r="EH21" s="160">
        <f>EH8+EH9+EH13+EH16+EH10</f>
        <v>12.5</v>
      </c>
      <c r="EI21" s="154">
        <f>EI8+EI10+EI9</f>
        <v>19.4</v>
      </c>
      <c r="EJ21" s="154">
        <f>EH21-EI21</f>
        <v>-6.899999999999999</v>
      </c>
      <c r="EK21" s="159">
        <f>EH21/EI21*100-100</f>
        <v>-35.567010309278345</v>
      </c>
      <c r="EL21" s="166">
        <f>SUM(EL8:EL20)</f>
        <v>0</v>
      </c>
      <c r="EM21" s="169">
        <f>EQ21+ER21+EV21+EZ21</f>
        <v>3462.987</v>
      </c>
      <c r="EN21" s="150">
        <f>ES21+EW21+FC21</f>
        <v>4144.856</v>
      </c>
      <c r="EO21" s="160">
        <f t="shared" si="31"/>
        <v>-681.8689999999997</v>
      </c>
      <c r="EP21" s="153">
        <f t="shared" si="32"/>
        <v>-16.45096958736322</v>
      </c>
      <c r="EQ21" s="160">
        <f>EQ8</f>
        <v>0</v>
      </c>
      <c r="ER21" s="158">
        <f>SUM(ER8:ER20)</f>
        <v>275.22900000000004</v>
      </c>
      <c r="ES21" s="156">
        <f>SUM(ES8:ES20)</f>
        <v>437.1520000000001</v>
      </c>
      <c r="ET21" s="170">
        <f t="shared" si="33"/>
        <v>-161.92300000000006</v>
      </c>
      <c r="EU21" s="166">
        <f t="shared" si="34"/>
        <v>-37.040434448429835</v>
      </c>
      <c r="EV21" s="151">
        <f>EV8+EV9+EV11+EV12+EV13+EV14+EV15+EV16+EV17+EV10</f>
        <v>2190.119</v>
      </c>
      <c r="EW21" s="150">
        <f>EW8+EW9+EW11+EW12+EW13+EW14+EW15+EW16+EW17+EW10</f>
        <v>2541.7779999999993</v>
      </c>
      <c r="EX21" s="150">
        <f t="shared" si="35"/>
        <v>-351.6589999999992</v>
      </c>
      <c r="EY21" s="166">
        <f t="shared" si="36"/>
        <v>-13.835157909148606</v>
      </c>
      <c r="EZ21" s="160">
        <f>SUM(EZ8:EZ20)</f>
        <v>997.639</v>
      </c>
      <c r="FA21" s="158">
        <f>SUM(FA8:FA20)</f>
        <v>904748.49</v>
      </c>
      <c r="FB21" s="164">
        <f>SUM(FB8:FB20)</f>
        <v>-904748.49</v>
      </c>
      <c r="FC21" s="150">
        <f>SUM(FC8:FC20)</f>
        <v>1165.926</v>
      </c>
      <c r="FD21" s="169">
        <f>EZ21-FC21</f>
        <v>-168.28699999999992</v>
      </c>
      <c r="FE21" s="166">
        <f>EZ21/FC21*100-100</f>
        <v>-14.43376337777869</v>
      </c>
      <c r="FF21" s="151">
        <f>FF8</f>
        <v>13.214</v>
      </c>
      <c r="FG21" s="150">
        <f>SUM(FG8:FG20)</f>
        <v>0</v>
      </c>
      <c r="FH21" s="151">
        <f>FH8</f>
        <v>1.543</v>
      </c>
      <c r="FI21" s="150">
        <f>SUM(FI8:FI20)</f>
        <v>2.336</v>
      </c>
      <c r="FJ21" s="151">
        <f>FH21-FI21</f>
        <v>-0.7929999999999999</v>
      </c>
      <c r="FK21" s="166">
        <f>FH21/FI21*100-100</f>
        <v>-33.94691780821918</v>
      </c>
      <c r="FL21" s="174">
        <f>SUM(FL8:FL20)</f>
        <v>264.00100000000003</v>
      </c>
      <c r="FM21" s="151">
        <f>SUM(FM8:FM20)</f>
        <v>138.025</v>
      </c>
      <c r="FN21" s="166">
        <f>FL21-FM21</f>
        <v>125.97600000000003</v>
      </c>
      <c r="FO21" s="161">
        <f>FL21/FM21*100-100</f>
        <v>91.2704220249955</v>
      </c>
      <c r="FP21" s="150">
        <f>FP8</f>
        <v>69.04</v>
      </c>
      <c r="FQ21" s="151">
        <f>FQ8</f>
        <v>93.339</v>
      </c>
      <c r="FR21" s="150">
        <f>SUM(FR8:FR20)</f>
        <v>89.145</v>
      </c>
      <c r="FS21" s="151">
        <f>FS8</f>
        <v>4.194000000000003</v>
      </c>
      <c r="FT21" s="166">
        <f>FQ21/FR21*100-100</f>
        <v>4.704694598687539</v>
      </c>
      <c r="FU21" s="169">
        <f>FU8</f>
        <v>101.622</v>
      </c>
      <c r="FV21" s="150">
        <f>SUM(FV8:FV20)</f>
        <v>48.88</v>
      </c>
      <c r="FW21" s="161">
        <f>FU21-FV21</f>
        <v>52.742</v>
      </c>
      <c r="FX21" s="166">
        <f>FU21/FV21*100-100</f>
        <v>107.90098199672667</v>
      </c>
      <c r="FY21" s="169">
        <f>FY8</f>
        <v>3.971</v>
      </c>
      <c r="FZ21" s="150">
        <f>SUM(FZ8:FZ20)</f>
        <v>1.053</v>
      </c>
      <c r="GA21" s="151">
        <f>GA8</f>
        <v>-2.918</v>
      </c>
      <c r="GB21" s="166"/>
      <c r="GC21" s="169">
        <f>SUM(GC8:GC20)</f>
        <v>3.525</v>
      </c>
      <c r="GD21" s="150">
        <f>GD8</f>
        <v>3.383</v>
      </c>
      <c r="GE21" s="166">
        <f>GC21-GD21</f>
        <v>0.1419999999999999</v>
      </c>
      <c r="GF21" s="166">
        <f>GC21/GD21*100-100</f>
        <v>4.197457877623407</v>
      </c>
      <c r="GG21" s="151">
        <f>GG8</f>
        <v>48.942</v>
      </c>
      <c r="GH21" s="150">
        <f>GH8+GH9+GH11+GH12+GH13+GH14+GH15+GH16+GH17</f>
        <v>19.238</v>
      </c>
      <c r="GI21" s="166">
        <f>GG21-GH21</f>
        <v>29.704</v>
      </c>
      <c r="GJ21" s="165">
        <f>GG21/GH21*100-100</f>
        <v>154.40274456804244</v>
      </c>
      <c r="GK21" s="171">
        <f>SUM(GK8:GK20)</f>
        <v>0</v>
      </c>
      <c r="GL21" s="171">
        <f>GL8</f>
        <v>0</v>
      </c>
      <c r="GM21" s="169">
        <f>SUM(GM8:GM20)</f>
        <v>21219.517999999993</v>
      </c>
      <c r="GN21" s="150">
        <f>C21+BB21+BF21+EN21++FI21+FM21+FZ21+GD21+GH21+AK21+AI21+AG21+GL21+AM21+AQ21+FG21</f>
        <v>19367.542</v>
      </c>
      <c r="GO21" s="169">
        <f t="shared" si="39"/>
        <v>1851.9759999999915</v>
      </c>
      <c r="GP21" s="166">
        <f t="shared" si="40"/>
        <v>9.562266600480271</v>
      </c>
      <c r="GQ21" s="37"/>
      <c r="GR21" s="37"/>
      <c r="GS21" s="37"/>
      <c r="GT21" s="37"/>
      <c r="GU21" s="37"/>
    </row>
    <row r="22" spans="2:203" ht="12.75">
      <c r="B22" s="46"/>
      <c r="C22" s="46"/>
      <c r="H22" s="62"/>
      <c r="I22" s="20"/>
      <c r="AD22" s="114"/>
      <c r="AG22" s="46"/>
      <c r="BE22" s="46"/>
      <c r="BS22" s="28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118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42"/>
      <c r="EO22" s="37"/>
      <c r="EP22" s="37"/>
      <c r="EQ22" s="37"/>
      <c r="ER22" s="37"/>
      <c r="ES22" s="106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107"/>
      <c r="FN22" s="37"/>
      <c r="FO22" s="37"/>
      <c r="FP22" s="37"/>
      <c r="FQ22" s="37"/>
      <c r="FR22" s="10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107"/>
      <c r="GN22" s="107"/>
      <c r="GO22" s="37"/>
      <c r="GP22" s="37"/>
      <c r="GQ22" s="37"/>
      <c r="GR22" s="37"/>
      <c r="GS22" s="37"/>
      <c r="GT22" s="37"/>
      <c r="GU22" s="37"/>
    </row>
    <row r="23" spans="2:203" ht="13.5" thickBot="1">
      <c r="B23" s="46"/>
      <c r="C23" s="46"/>
      <c r="I23" s="17"/>
      <c r="O23">
        <v>2778.372</v>
      </c>
      <c r="P23" s="37"/>
      <c r="U23" s="7">
        <f>U24-U21</f>
        <v>35.474000000000046</v>
      </c>
      <c r="AD23" s="96"/>
      <c r="BB23">
        <v>951.306</v>
      </c>
      <c r="BE23" s="109"/>
      <c r="BQ23">
        <v>28.071</v>
      </c>
      <c r="BX23" s="46">
        <v>51.779</v>
      </c>
      <c r="CM23">
        <v>917.836</v>
      </c>
      <c r="ES23">
        <v>612.205</v>
      </c>
      <c r="EW23">
        <v>4238.175</v>
      </c>
      <c r="GM23" s="46">
        <f>B21+AH21+AJ21+AL21+AP21+AT21+BE21+EM21+FF21+FH21+FL21+FY21+GC21+GG21+GK21</f>
        <v>21172.011000000002</v>
      </c>
      <c r="GN23" s="46"/>
      <c r="GQ23" s="37"/>
      <c r="GR23" s="37"/>
      <c r="GS23" s="37"/>
      <c r="GT23" s="37"/>
      <c r="GU23" s="37"/>
    </row>
    <row r="24" spans="9:197" ht="13.5" thickBot="1">
      <c r="I24" s="17"/>
      <c r="U24">
        <v>569.491</v>
      </c>
      <c r="BE24" s="17"/>
      <c r="BQ24" s="7"/>
      <c r="BX24" s="46"/>
      <c r="CF24">
        <v>852.02</v>
      </c>
      <c r="CX24">
        <v>622.429</v>
      </c>
      <c r="DE24">
        <v>3539.669</v>
      </c>
      <c r="EE24">
        <v>950.592</v>
      </c>
      <c r="ET24" s="17"/>
      <c r="FC24" s="105">
        <v>2926.639</v>
      </c>
      <c r="FR24" s="46"/>
      <c r="GM24" s="46"/>
      <c r="GN24" s="67"/>
      <c r="GO24" s="17"/>
    </row>
    <row r="25" spans="6:196" ht="12.75">
      <c r="F25" s="8"/>
      <c r="G25" s="8"/>
      <c r="H25" s="8"/>
      <c r="I25" s="17"/>
      <c r="U25" s="7"/>
      <c r="BX25" s="46"/>
      <c r="DA25" s="7"/>
      <c r="EM25" s="17"/>
      <c r="ET25" s="7"/>
      <c r="GM25" s="7"/>
      <c r="GN25" s="17"/>
    </row>
    <row r="26" spans="9:197" ht="12.75">
      <c r="I26" s="17"/>
      <c r="BX26" s="46"/>
      <c r="GM26" s="17"/>
      <c r="GN26" s="17"/>
      <c r="GO26" s="17"/>
    </row>
    <row r="27" spans="9:197" ht="12.75">
      <c r="I27" s="17"/>
      <c r="GN27" s="46"/>
      <c r="GO27" s="17"/>
    </row>
  </sheetData>
  <sheetProtection/>
  <mergeCells count="38">
    <mergeCell ref="GM6:GP6"/>
    <mergeCell ref="GO5:GP5"/>
    <mergeCell ref="B6:E6"/>
    <mergeCell ref="EM6:EP6"/>
    <mergeCell ref="CI6:CO6"/>
    <mergeCell ref="N6:T6"/>
    <mergeCell ref="U6:AA6"/>
    <mergeCell ref="AB6:AE6"/>
    <mergeCell ref="AL6:AO6"/>
    <mergeCell ref="AP6:AS6"/>
    <mergeCell ref="F6:I6"/>
    <mergeCell ref="FL6:FO6"/>
    <mergeCell ref="DA6:DG6"/>
    <mergeCell ref="BE6:BH6"/>
    <mergeCell ref="CB6:CH6"/>
    <mergeCell ref="FH6:FK6"/>
    <mergeCell ref="BI6:BL6"/>
    <mergeCell ref="DO6:EG6"/>
    <mergeCell ref="DH6:DN6"/>
    <mergeCell ref="CP6:CS6"/>
    <mergeCell ref="AT6:BD6"/>
    <mergeCell ref="BM6:BS6"/>
    <mergeCell ref="CT6:CZ6"/>
    <mergeCell ref="EH6:EK6"/>
    <mergeCell ref="BT6:CA6"/>
    <mergeCell ref="J6:M6"/>
    <mergeCell ref="AJ6:AK6"/>
    <mergeCell ref="AH6:AI6"/>
    <mergeCell ref="AF6:AG6"/>
    <mergeCell ref="GK6:GL6"/>
    <mergeCell ref="ER6:EU6"/>
    <mergeCell ref="EV6:EY6"/>
    <mergeCell ref="GC6:GF6"/>
    <mergeCell ref="FU6:FX6"/>
    <mergeCell ref="EZ6:FE6"/>
    <mergeCell ref="GG6:GJ6"/>
    <mergeCell ref="FQ6:FT6"/>
    <mergeCell ref="FY6:GB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80" r:id="rId1"/>
  <colBreaks count="9" manualBreakCount="9">
    <brk id="16" max="20" man="1"/>
    <brk id="40" max="20" man="1"/>
    <brk id="62" max="20" man="1"/>
    <brk id="90" max="20" man="1"/>
    <brk id="111" max="20" man="1"/>
    <brk id="143" max="20" man="1"/>
    <brk id="155" max="20" man="1"/>
    <brk id="171" max="20" man="1"/>
    <brk id="18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2021-05-25T11:22:30Z</cp:lastPrinted>
  <dcterms:created xsi:type="dcterms:W3CDTF">2017-02-16T07:47:27Z</dcterms:created>
  <dcterms:modified xsi:type="dcterms:W3CDTF">2021-05-25T11:23:12Z</dcterms:modified>
  <cp:category/>
  <cp:version/>
  <cp:contentType/>
  <cp:contentStatus/>
</cp:coreProperties>
</file>