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5480" windowHeight="10485" activeTab="0"/>
  </bookViews>
  <sheets>
    <sheet name="Лист1" sheetId="1" r:id="rId1"/>
  </sheets>
  <definedNames>
    <definedName name="_xlnm.Print_Titles" localSheetId="0">'Лист1'!$10:$14</definedName>
    <definedName name="_xlnm.Print_Area" localSheetId="0">'Лист1'!$A$1:$P$119</definedName>
  </definedNames>
  <calcPr fullCalcOnLoad="1"/>
</workbook>
</file>

<file path=xl/sharedStrings.xml><?xml version="1.0" encoding="utf-8"?>
<sst xmlns="http://schemas.openxmlformats.org/spreadsheetml/2006/main" count="229" uniqueCount="184">
  <si>
    <t>отг м. Баштанка</t>
  </si>
  <si>
    <t>Загальний фонд</t>
  </si>
  <si>
    <t>Всього</t>
  </si>
  <si>
    <t>видатки споживання</t>
  </si>
  <si>
    <t>з них</t>
  </si>
  <si>
    <t>оплата праці</t>
  </si>
  <si>
    <t>комунальні послуги та енергоносії</t>
  </si>
  <si>
    <t>видатки розвитку</t>
  </si>
  <si>
    <t>Спеціальний фонд</t>
  </si>
  <si>
    <t>0100000</t>
  </si>
  <si>
    <t>Баштанська міська рада</t>
  </si>
  <si>
    <t>0110000</t>
  </si>
  <si>
    <t>0111</t>
  </si>
  <si>
    <t>0910</t>
  </si>
  <si>
    <t>1010</t>
  </si>
  <si>
    <t>0990</t>
  </si>
  <si>
    <t>1030</t>
  </si>
  <si>
    <t>1090</t>
  </si>
  <si>
    <t>0828</t>
  </si>
  <si>
    <t>0829</t>
  </si>
  <si>
    <t>0810</t>
  </si>
  <si>
    <t>0620</t>
  </si>
  <si>
    <t>0133</t>
  </si>
  <si>
    <t>Резервний фонд</t>
  </si>
  <si>
    <t>0180</t>
  </si>
  <si>
    <t>0540</t>
  </si>
  <si>
    <t xml:space="preserve"> </t>
  </si>
  <si>
    <t>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</si>
  <si>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до рішення  міської  ради</t>
  </si>
  <si>
    <t>субвенція з міського бюджету Баштанської міської ради районному бюджету для надання  послуг з збереження архівних фондів об’єднаним трудовим архівом міської, сільських рад Баштанського району</t>
  </si>
  <si>
    <t>у тому числі видатки за рахунок цільових субвенцій з державного бюджету</t>
  </si>
  <si>
    <t>Освіта</t>
  </si>
  <si>
    <t>0113000</t>
  </si>
  <si>
    <t xml:space="preserve">Соціальний захист та соціальне забезпечення </t>
  </si>
  <si>
    <t>1000000</t>
  </si>
  <si>
    <t>Відділ освіти, молоді та спорту виконавчого комітету Баштанської міської ради</t>
  </si>
  <si>
    <t>1010000</t>
  </si>
  <si>
    <t>Разом</t>
  </si>
  <si>
    <t>Інші видатки на соціальний захист ветеранів війни та праці</t>
  </si>
  <si>
    <t>Відділ розвитку культури і туризму виконавчого комітету Баштанської міської ради</t>
  </si>
  <si>
    <t>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</si>
  <si>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1060</t>
  </si>
  <si>
    <t>1020</t>
  </si>
  <si>
    <t>0921</t>
  </si>
  <si>
    <t>в тому числі:</t>
  </si>
  <si>
    <t>за рахунок освітньої субвенції з державного бюджету</t>
  </si>
  <si>
    <t>0960</t>
  </si>
  <si>
    <t>Утримання та навчально-тренувальна робота комунальних дитячо-юнацьких спортивних шкіл</t>
  </si>
  <si>
    <t xml:space="preserve">за рахунок додаткової дотації з державного бюджету на здійснення переданих з державного бюджету видатків з утримання закладів освіти та охорони здоровя </t>
  </si>
  <si>
    <t>0160</t>
  </si>
  <si>
    <t>0824</t>
  </si>
  <si>
    <t>0110150</t>
  </si>
  <si>
    <t>0150</t>
  </si>
  <si>
    <t>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t>
  </si>
  <si>
    <t>0113180</t>
  </si>
  <si>
    <t>0116030</t>
  </si>
  <si>
    <t>6030</t>
  </si>
  <si>
    <t>Організація благоустрою населених пунктів</t>
  </si>
  <si>
    <t>0443</t>
  </si>
  <si>
    <t>0118700</t>
  </si>
  <si>
    <t>8700</t>
  </si>
  <si>
    <t>0119410</t>
  </si>
  <si>
    <t>0118230</t>
  </si>
  <si>
    <t>0380</t>
  </si>
  <si>
    <t>Інші заходи громадського порядку та безпеки</t>
  </si>
  <si>
    <t>0116090</t>
  </si>
  <si>
    <t>6090</t>
  </si>
  <si>
    <t>0640</t>
  </si>
  <si>
    <t>Інша діяльність у сфері житлово-комунального господарства</t>
  </si>
  <si>
    <t>0119770</t>
  </si>
  <si>
    <t>Інші субвенції з місцевого бюджету</t>
  </si>
  <si>
    <t>0118340</t>
  </si>
  <si>
    <t>Природоохоронні заходи за рахунок цільових фондів</t>
  </si>
  <si>
    <t>0600000</t>
  </si>
  <si>
    <t>0610000</t>
  </si>
  <si>
    <t>0610160</t>
  </si>
  <si>
    <t>Керівництво і управління у відповідній сфері у містах (місті Києві), селищах, селах, об"єднаних територіальних громадах</t>
  </si>
  <si>
    <t>0611000</t>
  </si>
  <si>
    <t>0611010</t>
  </si>
  <si>
    <t>Надання дошкільної освіти</t>
  </si>
  <si>
    <t>0611020</t>
  </si>
  <si>
    <t>0611090</t>
  </si>
  <si>
    <t>0611150</t>
  </si>
  <si>
    <t>1150</t>
  </si>
  <si>
    <t>0615031</t>
  </si>
  <si>
    <t>0615061</t>
  </si>
  <si>
    <t>1010160</t>
  </si>
  <si>
    <t>Забезпечення діяльності музеїв і виставок</t>
  </si>
  <si>
    <t>Забезпечення діяльності палаців і будинків культури, клубів, центрів дозвілля та інших клубних закладів</t>
  </si>
  <si>
    <t>Інші заходи у сфері соціального захисту і соціального забезпечення</t>
  </si>
  <si>
    <t>0113242</t>
  </si>
  <si>
    <t>0114082</t>
  </si>
  <si>
    <t>Інші заходи в галузі культури і мистецтва</t>
  </si>
  <si>
    <t>0611161</t>
  </si>
  <si>
    <t>1161</t>
  </si>
  <si>
    <t>Забезпечення діяльності інших закладів у сфері освіти</t>
  </si>
  <si>
    <t>0611162</t>
  </si>
  <si>
    <t>1162</t>
  </si>
  <si>
    <t>Інші програми та заходи у сфері освіти</t>
  </si>
  <si>
    <t>0617321</t>
  </si>
  <si>
    <t>Будівництво освітніх установ та закладів</t>
  </si>
  <si>
    <t>0113191</t>
  </si>
  <si>
    <t>3191</t>
  </si>
  <si>
    <t>субвенція з міського бюджету Баштанської міської ради районному бюджету для надання  культурно-освітніх послуг районною централізованою бібліотечною системою, іншими закладами культури</t>
  </si>
  <si>
    <t>Код Функціональної класифікації видатків та кредитування бюджету</t>
  </si>
  <si>
    <t>усього</t>
  </si>
  <si>
    <t>у тому числі бюджет розвитку</t>
  </si>
  <si>
    <t>субвенція з міського бюджету Баштанської міської ради районному бюджету для надання  послуг  соціального забезпечення закладами, установами соціального захисту та соціального забезпечення (тер центр, районний центр соціальних служб для сім’ї ,дітей та молоді, інші заходи)</t>
  </si>
  <si>
    <t>за рахунок субвенції з місцевого бюджету на надання державної підтримки особам з особливими освітніми потребами за рахунок відповідної субвенції з державного бюджету</t>
  </si>
  <si>
    <t>за рахунок субвенції з місцевого бюджету на здійснення переданих видатків у сфері освіти за рахунок коштів освітньої субвенції</t>
  </si>
  <si>
    <t>(грн)</t>
  </si>
  <si>
    <t>0116013</t>
  </si>
  <si>
    <t>Забезпечення діяльності водопровідно-каналізаційного господарства</t>
  </si>
  <si>
    <t>субвенція з міського бюджету Баштанської міської ради районному бюджету для надання медичних послуг населенню об"єднаної територіальної громади комунальним некомерційним підприємтсвом "Центр первинної медико-санітарної допомоги Баштанського району"</t>
  </si>
  <si>
    <t>видатків  міського бюджету  на 2020 рік</t>
  </si>
  <si>
    <t>(код бюджету)</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</si>
  <si>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</si>
  <si>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</si>
  <si>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Найменування головного розпорядника коштів місцевого бюджету/відповідального виконавця, найменування бюджетної програми згідно з Типовою програмною класифікацією видатків та кредитування місцевого бюджету</t>
  </si>
  <si>
    <t>субвенція з міського бюджету Баштанської міської ради районному бюджету для надання медичних послуг населенню об"єднаної територіальної громади комунальним некомерційним підприємтсвом "Багатопрофільна лікарня Баштанського району"</t>
  </si>
  <si>
    <t>Субввенція з місцевого бюджету на здійснення переданих видатків у сфері охорони здоров"я за рахунок коштів медичної субвенції</t>
  </si>
  <si>
    <t>0611170</t>
  </si>
  <si>
    <t>Забезпечення діяльності інклюзивно-ресурсних центрів</t>
  </si>
  <si>
    <t>0117693</t>
  </si>
  <si>
    <t>0490</t>
  </si>
  <si>
    <t>7693</t>
  </si>
  <si>
    <t>Інші заходи, пов"язані з економічною діяльністю</t>
  </si>
  <si>
    <t>Надання загальної середньої освіти закладами  загальної середньої освіти ( у тому числі з дошкільними підрозділами (відділеннями, групами))</t>
  </si>
  <si>
    <t>Надання позашкільної освіти  закладами позашкільної освіти, заходи із позашкільної роботи з дітьми</t>
  </si>
  <si>
    <t xml:space="preserve">Методичне забезпечення діяльності закладів освіти </t>
  </si>
  <si>
    <t>Будівництво об'єктів житлово-комунального господарства
Подробиці: https://buhgalter.com.ua/dovidnik/byudzhetna-klasifikatsiya/tipova-programna-klasifikatsiya-vidatkiv-ta-kredituvannya-mistsevih/</t>
  </si>
  <si>
    <t>0117310</t>
  </si>
  <si>
    <t>Надання спеціальної освіти мистецькими школами</t>
  </si>
  <si>
    <t>Уточнений розподіл</t>
  </si>
  <si>
    <t>0112112</t>
  </si>
  <si>
    <t>2112</t>
  </si>
  <si>
    <t>0725</t>
  </si>
  <si>
    <t>Первинна медична допомога населенню, що надається фельдшерськими, фельдшерсько-акушерськими пунктами</t>
  </si>
  <si>
    <t>0113111</t>
  </si>
  <si>
    <t>Утримання закладів , що надають соціальні послуги дітям, які опинились у складних життєвих обставинах, підтримка функціонування дитячих будинків сімейного типу та прийомних сімей</t>
  </si>
  <si>
    <t>0117130</t>
  </si>
  <si>
    <t>0421</t>
  </si>
  <si>
    <t xml:space="preserve">Здійснення заходів із землеустрою </t>
  </si>
  <si>
    <t>0117330</t>
  </si>
  <si>
    <t>7330</t>
  </si>
  <si>
    <t>Будівництво інших об"єктів комунальної власності</t>
  </si>
  <si>
    <t>0117361</t>
  </si>
  <si>
    <t>Співфінансування інвестиційних проектів, що реалізуються за рахунок коштів державного фонду регіонального розвитку</t>
  </si>
  <si>
    <t>0117363</t>
  </si>
  <si>
    <t>Виконання інвестиційних проектів в рамках здійснення заходів щодо соціально-економічного розвитку окремих територій</t>
  </si>
  <si>
    <t>за рахунок залишку коштів субвенції з державного бюджету на здійснення заходів щодо соціально-економічного розвитку окремих територій, що утворився на початок бюджетного періоду (залишок коштів станом на 01.01.2020)</t>
  </si>
  <si>
    <t>0119420</t>
  </si>
  <si>
    <t>Субвенція з місцевого бюджету за рахунок залишку коштів медичної субвенції, що утворився на початок бюджетного періоду</t>
  </si>
  <si>
    <t>0119800</t>
  </si>
  <si>
    <t>Субвенція з місцевого бюджету державному бюджету на виконання програм соціально-економічного розвитку регіонів (виконавець програми: Баштанський ВП ГУ НП у Миколаївській області)</t>
  </si>
  <si>
    <t>за рахунок залишку коштів освітньої субвенції, що утворився на початок бюджетного періоду</t>
  </si>
  <si>
    <t>з них:</t>
  </si>
  <si>
    <t>за рахунок залишку коштів, що утворився на початок бюджетного періоду (залишок коштів міського бюджету станом на 01.01.2020)</t>
  </si>
  <si>
    <t>0617325</t>
  </si>
  <si>
    <t>Будівництво споруд, установ та закладів фізичної культури і спорту</t>
  </si>
  <si>
    <t>за рахунок субвенція з місцевого бюджету за рахунок залишку коштів освітньої субвенції, що утворився на початок бюджетного періоду</t>
  </si>
  <si>
    <t xml:space="preserve">субвенція з міського бюджету Баштанської міської ради обласному бюджету Миколаївської області на співфінасування придбання шкільного автобусу </t>
  </si>
  <si>
    <t>за рахунок залишку коштів субвенції  на надання державної підтримки особам з особливими освітніми потребами, що утворився на початок бюджетного періоду</t>
  </si>
  <si>
    <t>за рахунок залишку коштів субвенції з місцевого бюджету на здійснення переданих видатків у сфері освіти за рахунок коштів освітньої субвенції</t>
  </si>
  <si>
    <t>Будівництво установ та закладів культури</t>
  </si>
  <si>
    <t>субвенція з міського бюджету Баштанської міської ради обласному бюджету Миколаївської області на співфінасування закупівлі комп"ютерного обладнання</t>
  </si>
  <si>
    <t xml:space="preserve"> за рахунок субвенції з місцевого бюджету на забезпечення якісної, сучасної та доступної загальної середньої освіти " Нова українська школа" за рахунок відповідної субвенції з державного бюджету</t>
  </si>
  <si>
    <t>Додаток 3.1.</t>
  </si>
  <si>
    <t>0117322</t>
  </si>
  <si>
    <t>Будівництво медичних установ та закладів</t>
  </si>
  <si>
    <t>Заступник міського голови з питань діяльності виконавчих органів ради</t>
  </si>
  <si>
    <t>Світлана ЄВДОЩЕНКО</t>
  </si>
  <si>
    <t>0117462</t>
  </si>
  <si>
    <t>0456</t>
  </si>
  <si>
    <t>Утримання та розвиток автомобільних доріг та дорожньої інфраструктури за рахунок субвенції з державного бюджету</t>
  </si>
  <si>
    <t>0117650</t>
  </si>
  <si>
    <t>7650</t>
  </si>
  <si>
    <t>Проведення експертної грошової оцінки земельної ділянки чи права на неї</t>
  </si>
  <si>
    <t>0110191</t>
  </si>
  <si>
    <t>0191</t>
  </si>
  <si>
    <t>Проведення місцевих виборів</t>
  </si>
  <si>
    <t>в тому числі за рахунок:</t>
  </si>
  <si>
    <t xml:space="preserve">субвенції з місцевого бюджету на проведення виборів депутатів місцевих рад та сільських, селищних, міських голів, за рахунок відповідної субвенції з державного бюджету </t>
  </si>
  <si>
    <t xml:space="preserve">  жовтня  2020 року №</t>
  </si>
</sst>
</file>

<file path=xl/styles.xml><?xml version="1.0" encoding="utf-8"?>
<styleSheet xmlns="http://schemas.openxmlformats.org/spreadsheetml/2006/main">
  <numFmts count="3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000"/>
    <numFmt numFmtId="181" formatCode="0.0000"/>
    <numFmt numFmtId="182" formatCode="0.00000"/>
    <numFmt numFmtId="183" formatCode="0.0"/>
    <numFmt numFmtId="184" formatCode="0.000000"/>
    <numFmt numFmtId="185" formatCode="&quot;Да&quot;;&quot;Да&quot;;&quot;Нет&quot;"/>
    <numFmt numFmtId="186" formatCode="&quot;Истина&quot;;&quot;Истина&quot;;&quot;Ложь&quot;"/>
    <numFmt numFmtId="187" formatCode="&quot;Вкл&quot;;&quot;Вкл&quot;;&quot;Выкл&quot;"/>
    <numFmt numFmtId="188" formatCode="[$€-2]\ ###,000_);[Red]\([$€-2]\ ###,000\)"/>
  </numFmts>
  <fonts count="59">
    <font>
      <sz val="10"/>
      <name val="Arial Cyr"/>
      <family val="0"/>
    </font>
    <font>
      <b/>
      <sz val="10"/>
      <name val="Arial Cyr"/>
      <family val="0"/>
    </font>
    <font>
      <sz val="8"/>
      <name val="Arial Cyr"/>
      <family val="0"/>
    </font>
    <font>
      <sz val="7"/>
      <name val="Arial Cyr"/>
      <family val="0"/>
    </font>
    <font>
      <sz val="12"/>
      <name val="Times New Roman"/>
      <family val="1"/>
    </font>
    <font>
      <sz val="12"/>
      <name val="Arial Cyr"/>
      <family val="0"/>
    </font>
    <font>
      <sz val="10"/>
      <name val="Arial"/>
      <family val="2"/>
    </font>
    <font>
      <b/>
      <sz val="10"/>
      <name val="Arial"/>
      <family val="2"/>
    </font>
    <font>
      <sz val="12"/>
      <name val="Arial"/>
      <family val="2"/>
    </font>
    <font>
      <sz val="9"/>
      <name val="Times New Roman"/>
      <family val="1"/>
    </font>
    <font>
      <b/>
      <sz val="14"/>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10"/>
      <name val="Arial"/>
      <family val="2"/>
    </font>
    <font>
      <sz val="10"/>
      <color indexed="10"/>
      <name val="Arial Cyr"/>
      <family val="0"/>
    </font>
    <font>
      <sz val="12"/>
      <color indexed="10"/>
      <name val="Arial Cyr"/>
      <family val="0"/>
    </font>
    <font>
      <sz val="10"/>
      <color indexed="8"/>
      <name val="Arial"/>
      <family val="2"/>
    </font>
    <font>
      <b/>
      <sz val="10"/>
      <color indexed="10"/>
      <name val="Arial Cyr"/>
      <family val="0"/>
    </font>
    <font>
      <b/>
      <sz val="10"/>
      <color indexed="10"/>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FF0000"/>
      <name val="Arial"/>
      <family val="2"/>
    </font>
    <font>
      <sz val="10"/>
      <color rgb="FFFF0000"/>
      <name val="Arial Cyr"/>
      <family val="0"/>
    </font>
    <font>
      <sz val="12"/>
      <color rgb="FFFF0000"/>
      <name val="Arial Cyr"/>
      <family val="0"/>
    </font>
    <font>
      <sz val="10"/>
      <color rgb="FF000000"/>
      <name val="Arial"/>
      <family val="2"/>
    </font>
    <font>
      <b/>
      <sz val="10"/>
      <color rgb="FFFF0000"/>
      <name val="Arial Cyr"/>
      <family val="0"/>
    </font>
    <font>
      <b/>
      <sz val="10"/>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1"/>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style="thin"/>
    </border>
    <border>
      <left style="thin"/>
      <right style="thin"/>
      <top>
        <color indexed="63"/>
      </top>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7" borderId="1" applyNumberFormat="0" applyAlignment="0" applyProtection="0"/>
    <xf numFmtId="0" fontId="40"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28" borderId="7" applyNumberFormat="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30" borderId="0" applyNumberFormat="0" applyBorder="0" applyAlignment="0" applyProtection="0"/>
    <xf numFmtId="0" fontId="4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52" fillId="32" borderId="0" applyNumberFormat="0" applyBorder="0" applyAlignment="0" applyProtection="0"/>
  </cellStyleXfs>
  <cellXfs count="130">
    <xf numFmtId="0" fontId="0" fillId="0" borderId="0" xfId="0" applyAlignment="1">
      <alignment/>
    </xf>
    <xf numFmtId="0" fontId="0" fillId="0" borderId="0" xfId="0" applyAlignment="1">
      <alignment horizontal="right"/>
    </xf>
    <xf numFmtId="0" fontId="1" fillId="0" borderId="0" xfId="0" applyFont="1" applyAlignment="1">
      <alignment horizontal="left"/>
    </xf>
    <xf numFmtId="0" fontId="3" fillId="0" borderId="0" xfId="0" applyFont="1" applyAlignment="1">
      <alignment/>
    </xf>
    <xf numFmtId="0" fontId="0" fillId="0" borderId="10" xfId="0" applyBorder="1" applyAlignment="1">
      <alignment horizontal="center" vertical="center" wrapText="1"/>
    </xf>
    <xf numFmtId="0" fontId="0" fillId="33" borderId="10" xfId="0" applyFill="1" applyBorder="1" applyAlignment="1">
      <alignment horizontal="center" vertical="center" wrapText="1"/>
    </xf>
    <xf numFmtId="0" fontId="1" fillId="0" borderId="10" xfId="0" applyFont="1" applyBorder="1" applyAlignment="1" quotePrefix="1">
      <alignment horizontal="center" vertical="center" wrapText="1"/>
    </xf>
    <xf numFmtId="0" fontId="1" fillId="0" borderId="10" xfId="0" applyFont="1" applyBorder="1" applyAlignment="1">
      <alignment horizontal="center" vertical="center" wrapText="1"/>
    </xf>
    <xf numFmtId="180" fontId="1" fillId="0" borderId="10" xfId="0" applyNumberFormat="1" applyFont="1" applyBorder="1" applyAlignment="1">
      <alignment horizontal="center" vertical="center" wrapText="1"/>
    </xf>
    <xf numFmtId="180" fontId="1" fillId="0" borderId="10" xfId="0" applyNumberFormat="1" applyFont="1" applyBorder="1" applyAlignment="1" quotePrefix="1">
      <alignment vertical="center" wrapText="1"/>
    </xf>
    <xf numFmtId="180" fontId="1" fillId="33" borderId="10" xfId="0" applyNumberFormat="1" applyFont="1" applyFill="1" applyBorder="1" applyAlignment="1">
      <alignment vertical="center" wrapText="1"/>
    </xf>
    <xf numFmtId="180" fontId="1" fillId="0" borderId="10" xfId="0" applyNumberFormat="1" applyFont="1" applyBorder="1" applyAlignment="1">
      <alignment vertical="center" wrapText="1"/>
    </xf>
    <xf numFmtId="180" fontId="0" fillId="0" borderId="0" xfId="0" applyNumberFormat="1" applyAlignment="1">
      <alignment/>
    </xf>
    <xf numFmtId="0" fontId="5" fillId="0" borderId="0" xfId="0" applyFont="1" applyAlignment="1">
      <alignment/>
    </xf>
    <xf numFmtId="49" fontId="6" fillId="0" borderId="10" xfId="0" applyNumberFormat="1" applyFont="1" applyBorder="1" applyAlignment="1">
      <alignment vertical="top"/>
    </xf>
    <xf numFmtId="49" fontId="6" fillId="0" borderId="10" xfId="0" applyNumberFormat="1" applyFont="1" applyBorder="1" applyAlignment="1">
      <alignment horizontal="center" vertical="top" wrapText="1"/>
    </xf>
    <xf numFmtId="0" fontId="7" fillId="0" borderId="10" xfId="0" applyFont="1" applyBorder="1" applyAlignment="1">
      <alignment horizontal="left" vertical="top" wrapText="1"/>
    </xf>
    <xf numFmtId="49" fontId="6" fillId="0" borderId="10" xfId="0" applyNumberFormat="1" applyFont="1" applyFill="1" applyBorder="1" applyAlignment="1">
      <alignment horizontal="center" vertical="top" wrapText="1"/>
    </xf>
    <xf numFmtId="0" fontId="7" fillId="0" borderId="10" xfId="0" applyFont="1" applyBorder="1" applyAlignment="1">
      <alignment horizontal="justify" vertical="top" wrapText="1"/>
    </xf>
    <xf numFmtId="0" fontId="6" fillId="0" borderId="10" xfId="0" applyFont="1" applyBorder="1" applyAlignment="1">
      <alignment horizontal="justify" vertical="top" wrapText="1"/>
    </xf>
    <xf numFmtId="49" fontId="6" fillId="6" borderId="10" xfId="0" applyNumberFormat="1" applyFont="1" applyFill="1" applyBorder="1" applyAlignment="1">
      <alignment vertical="top"/>
    </xf>
    <xf numFmtId="49" fontId="6" fillId="6" borderId="10" xfId="0" applyNumberFormat="1" applyFont="1" applyFill="1" applyBorder="1" applyAlignment="1">
      <alignment horizontal="center" vertical="top" wrapText="1"/>
    </xf>
    <xf numFmtId="49" fontId="7" fillId="0" borderId="10" xfId="0" applyNumberFormat="1" applyFont="1" applyBorder="1" applyAlignment="1">
      <alignment horizontal="center" vertical="top" wrapText="1"/>
    </xf>
    <xf numFmtId="182" fontId="0" fillId="0" borderId="0" xfId="0" applyNumberFormat="1" applyAlignment="1">
      <alignment vertical="center"/>
    </xf>
    <xf numFmtId="49" fontId="6" fillId="0" borderId="10" xfId="0" applyNumberFormat="1" applyFont="1" applyBorder="1" applyAlignment="1">
      <alignment horizontal="center" vertical="top"/>
    </xf>
    <xf numFmtId="0" fontId="6" fillId="0" borderId="10" xfId="0" applyFont="1" applyBorder="1" applyAlignment="1">
      <alignment vertical="top" wrapText="1"/>
    </xf>
    <xf numFmtId="0" fontId="6" fillId="0" borderId="10" xfId="0" applyFont="1" applyBorder="1" applyAlignment="1">
      <alignment horizontal="left" vertical="top" wrapText="1"/>
    </xf>
    <xf numFmtId="0" fontId="6" fillId="0" borderId="10" xfId="0" applyFont="1" applyBorder="1" applyAlignment="1" quotePrefix="1">
      <alignment horizontal="center" vertical="top" wrapText="1"/>
    </xf>
    <xf numFmtId="180" fontId="6" fillId="0" borderId="10" xfId="0" applyNumberFormat="1" applyFont="1" applyBorder="1" applyAlignment="1" quotePrefix="1">
      <alignment horizontal="center" vertical="top" wrapText="1"/>
    </xf>
    <xf numFmtId="0" fontId="7" fillId="0" borderId="10" xfId="0" applyFont="1" applyBorder="1" applyAlignment="1" quotePrefix="1">
      <alignment horizontal="center" vertical="top" wrapText="1"/>
    </xf>
    <xf numFmtId="180" fontId="7" fillId="0" borderId="10" xfId="0" applyNumberFormat="1" applyFont="1" applyBorder="1" applyAlignment="1" quotePrefix="1">
      <alignment horizontal="center" vertical="top" wrapText="1"/>
    </xf>
    <xf numFmtId="180" fontId="6" fillId="0" borderId="10" xfId="0" applyNumberFormat="1" applyFont="1" applyBorder="1" applyAlignment="1">
      <alignment vertical="top" wrapText="1"/>
    </xf>
    <xf numFmtId="0" fontId="8" fillId="0" borderId="0" xfId="0" applyFont="1" applyAlignment="1">
      <alignment/>
    </xf>
    <xf numFmtId="49" fontId="6" fillId="0" borderId="10" xfId="0" applyNumberFormat="1" applyFont="1" applyBorder="1" applyAlignment="1">
      <alignment horizontal="left" vertical="top"/>
    </xf>
    <xf numFmtId="180" fontId="7" fillId="0" borderId="0" xfId="0" applyNumberFormat="1" applyFont="1" applyBorder="1" applyAlignment="1" quotePrefix="1">
      <alignment vertical="top" wrapText="1"/>
    </xf>
    <xf numFmtId="0" fontId="1" fillId="0" borderId="10" xfId="0" applyFont="1" applyBorder="1" applyAlignment="1" quotePrefix="1">
      <alignment horizontal="center" vertical="top" wrapText="1"/>
    </xf>
    <xf numFmtId="180" fontId="1" fillId="0" borderId="10" xfId="0" applyNumberFormat="1" applyFont="1" applyBorder="1" applyAlignment="1" quotePrefix="1">
      <alignment horizontal="center" vertical="top" wrapText="1"/>
    </xf>
    <xf numFmtId="180" fontId="1" fillId="33" borderId="10" xfId="0" applyNumberFormat="1" applyFont="1" applyFill="1" applyBorder="1" applyAlignment="1">
      <alignment vertical="top" wrapText="1"/>
    </xf>
    <xf numFmtId="180" fontId="1" fillId="0" borderId="10" xfId="0" applyNumberFormat="1" applyFont="1" applyBorder="1" applyAlignment="1">
      <alignment vertical="top" wrapText="1"/>
    </xf>
    <xf numFmtId="180" fontId="1" fillId="0" borderId="10" xfId="0" applyNumberFormat="1" applyFont="1" applyBorder="1" applyAlignment="1" quotePrefix="1">
      <alignment vertical="top" wrapText="1"/>
    </xf>
    <xf numFmtId="180" fontId="7" fillId="0" borderId="10" xfId="0" applyNumberFormat="1" applyFont="1" applyBorder="1" applyAlignment="1">
      <alignment vertical="top" wrapText="1"/>
    </xf>
    <xf numFmtId="0" fontId="1" fillId="33" borderId="10" xfId="0" applyFont="1" applyFill="1" applyBorder="1" applyAlignment="1">
      <alignment horizontal="center" vertical="top" wrapText="1"/>
    </xf>
    <xf numFmtId="0" fontId="1" fillId="33" borderId="10" xfId="0" applyFont="1" applyFill="1" applyBorder="1" applyAlignment="1" quotePrefix="1">
      <alignment horizontal="center" vertical="top" wrapText="1"/>
    </xf>
    <xf numFmtId="180" fontId="1" fillId="33" borderId="10" xfId="0" applyNumberFormat="1" applyFont="1" applyFill="1" applyBorder="1" applyAlignment="1">
      <alignment horizontal="center" vertical="top" wrapText="1"/>
    </xf>
    <xf numFmtId="0" fontId="6" fillId="0" borderId="10" xfId="0" applyFont="1" applyBorder="1" applyAlignment="1" quotePrefix="1">
      <alignment horizontal="left" vertical="top" wrapText="1"/>
    </xf>
    <xf numFmtId="0" fontId="7" fillId="6" borderId="10" xfId="0" applyFont="1" applyFill="1" applyBorder="1" applyAlignment="1">
      <alignment horizontal="left" vertical="top" wrapText="1"/>
    </xf>
    <xf numFmtId="0" fontId="7" fillId="0" borderId="10" xfId="0" applyFont="1" applyFill="1" applyBorder="1" applyAlignment="1">
      <alignment horizontal="center" vertical="top" wrapText="1"/>
    </xf>
    <xf numFmtId="0" fontId="7" fillId="0" borderId="10" xfId="0" applyFont="1" applyFill="1" applyBorder="1" applyAlignment="1" quotePrefix="1">
      <alignment horizontal="center" vertical="top" wrapText="1"/>
    </xf>
    <xf numFmtId="180" fontId="7" fillId="0" borderId="10" xfId="0" applyNumberFormat="1" applyFont="1" applyFill="1" applyBorder="1" applyAlignment="1">
      <alignment vertical="top" wrapText="1"/>
    </xf>
    <xf numFmtId="0" fontId="4" fillId="0" borderId="0" xfId="0" applyFont="1" applyAlignment="1">
      <alignment horizontal="left" vertical="top" wrapText="1"/>
    </xf>
    <xf numFmtId="0" fontId="6" fillId="0" borderId="0" xfId="0" applyFont="1" applyBorder="1" applyAlignment="1">
      <alignment horizontal="left" vertical="top" wrapText="1"/>
    </xf>
    <xf numFmtId="180" fontId="6" fillId="0" borderId="10" xfId="0" applyNumberFormat="1" applyFont="1" applyBorder="1" applyAlignment="1" quotePrefix="1">
      <alignment horizontal="left" vertical="top" wrapText="1"/>
    </xf>
    <xf numFmtId="180" fontId="53" fillId="0" borderId="10" xfId="0" applyNumberFormat="1" applyFont="1" applyBorder="1" applyAlignment="1">
      <alignment vertical="top"/>
    </xf>
    <xf numFmtId="180" fontId="53" fillId="0" borderId="10" xfId="0" applyNumberFormat="1" applyFont="1" applyBorder="1" applyAlignment="1">
      <alignment horizontal="right" vertical="top" wrapText="1"/>
    </xf>
    <xf numFmtId="0" fontId="0" fillId="0" borderId="0" xfId="0" applyFont="1" applyAlignment="1">
      <alignment/>
    </xf>
    <xf numFmtId="49" fontId="7" fillId="6" borderId="10" xfId="0" applyNumberFormat="1" applyFont="1" applyFill="1" applyBorder="1" applyAlignment="1">
      <alignment vertical="top"/>
    </xf>
    <xf numFmtId="49" fontId="7" fillId="6" borderId="10" xfId="0" applyNumberFormat="1" applyFont="1" applyFill="1" applyBorder="1" applyAlignment="1">
      <alignment horizontal="center" vertical="top" wrapText="1"/>
    </xf>
    <xf numFmtId="0" fontId="0" fillId="0" borderId="0" xfId="0" applyFont="1" applyAlignment="1">
      <alignment vertical="top"/>
    </xf>
    <xf numFmtId="0" fontId="1" fillId="0" borderId="11" xfId="0" applyFont="1" applyBorder="1" applyAlignment="1" quotePrefix="1">
      <alignment horizontal="center" vertical="top" wrapText="1"/>
    </xf>
    <xf numFmtId="180" fontId="1" fillId="0" borderId="11" xfId="0" applyNumberFormat="1" applyFont="1" applyBorder="1" applyAlignment="1" quotePrefix="1">
      <alignment horizontal="center" vertical="top" wrapText="1"/>
    </xf>
    <xf numFmtId="180" fontId="1" fillId="0" borderId="11" xfId="0" applyNumberFormat="1" applyFont="1" applyBorder="1" applyAlignment="1" quotePrefix="1">
      <alignment vertical="top" wrapText="1"/>
    </xf>
    <xf numFmtId="49" fontId="6" fillId="0" borderId="11" xfId="0" applyNumberFormat="1" applyFont="1" applyBorder="1" applyAlignment="1">
      <alignment horizontal="left" vertical="top"/>
    </xf>
    <xf numFmtId="49" fontId="6" fillId="0" borderId="11" xfId="0" applyNumberFormat="1" applyFont="1" applyBorder="1" applyAlignment="1">
      <alignment horizontal="center" vertical="top"/>
    </xf>
    <xf numFmtId="49" fontId="6" fillId="0" borderId="11" xfId="0" applyNumberFormat="1" applyFont="1" applyBorder="1" applyAlignment="1">
      <alignment horizontal="center" vertical="top" wrapText="1"/>
    </xf>
    <xf numFmtId="180" fontId="1" fillId="0" borderId="11" xfId="0" applyNumberFormat="1" applyFont="1" applyBorder="1" applyAlignment="1">
      <alignment vertical="top" wrapText="1"/>
    </xf>
    <xf numFmtId="49" fontId="1" fillId="0" borderId="11" xfId="0" applyNumberFormat="1" applyFont="1" applyBorder="1" applyAlignment="1">
      <alignment horizontal="center" vertical="top" wrapText="1"/>
    </xf>
    <xf numFmtId="0" fontId="7" fillId="6" borderId="10" xfId="0" applyFont="1" applyFill="1" applyBorder="1" applyAlignment="1">
      <alignment horizontal="justify" vertical="top" wrapText="1"/>
    </xf>
    <xf numFmtId="49" fontId="1" fillId="0" borderId="10" xfId="0" applyNumberFormat="1" applyFont="1" applyBorder="1" applyAlignment="1">
      <alignment horizontal="center" vertical="top" wrapText="1"/>
    </xf>
    <xf numFmtId="182" fontId="0" fillId="0" borderId="0" xfId="0" applyNumberFormat="1" applyAlignment="1">
      <alignment/>
    </xf>
    <xf numFmtId="0" fontId="0" fillId="34" borderId="10" xfId="0" applyFill="1" applyBorder="1" applyAlignment="1">
      <alignment horizontal="center" vertical="center" wrapText="1"/>
    </xf>
    <xf numFmtId="180" fontId="1" fillId="34" borderId="10" xfId="0" applyNumberFormat="1" applyFont="1" applyFill="1" applyBorder="1" applyAlignment="1">
      <alignment vertical="center" wrapText="1"/>
    </xf>
    <xf numFmtId="180" fontId="53" fillId="34" borderId="10" xfId="0" applyNumberFormat="1" applyFont="1" applyFill="1" applyBorder="1" applyAlignment="1">
      <alignment vertical="top"/>
    </xf>
    <xf numFmtId="0" fontId="54" fillId="0" borderId="0" xfId="0" applyFont="1" applyAlignment="1">
      <alignment vertical="center"/>
    </xf>
    <xf numFmtId="0" fontId="55" fillId="0" borderId="0" xfId="0" applyFont="1" applyAlignment="1">
      <alignment/>
    </xf>
    <xf numFmtId="0" fontId="54" fillId="0" borderId="0" xfId="0" applyFont="1" applyAlignment="1">
      <alignment/>
    </xf>
    <xf numFmtId="0" fontId="54" fillId="34" borderId="0" xfId="0" applyFont="1" applyFill="1" applyAlignment="1">
      <alignment/>
    </xf>
    <xf numFmtId="2" fontId="1" fillId="33" borderId="10" xfId="0" applyNumberFormat="1" applyFont="1" applyFill="1" applyBorder="1" applyAlignment="1">
      <alignment vertical="top" wrapText="1"/>
    </xf>
    <xf numFmtId="2" fontId="1" fillId="33" borderId="12" xfId="0" applyNumberFormat="1" applyFont="1" applyFill="1" applyBorder="1" applyAlignment="1">
      <alignment vertical="top" wrapText="1"/>
    </xf>
    <xf numFmtId="2" fontId="0" fillId="0" borderId="0" xfId="0" applyNumberFormat="1" applyFont="1" applyAlignment="1">
      <alignment vertical="top"/>
    </xf>
    <xf numFmtId="2" fontId="7" fillId="0" borderId="10" xfId="0" applyNumberFormat="1" applyFont="1" applyFill="1" applyBorder="1" applyAlignment="1">
      <alignment vertical="top" wrapText="1"/>
    </xf>
    <xf numFmtId="2" fontId="7" fillId="6" borderId="10" xfId="0" applyNumberFormat="1" applyFont="1" applyFill="1" applyBorder="1" applyAlignment="1">
      <alignment vertical="top"/>
    </xf>
    <xf numFmtId="2" fontId="6" fillId="0" borderId="10" xfId="0" applyNumberFormat="1" applyFont="1" applyBorder="1" applyAlignment="1">
      <alignment vertical="top" wrapText="1"/>
    </xf>
    <xf numFmtId="0" fontId="1" fillId="0" borderId="0" xfId="0" applyFont="1" applyAlignment="1">
      <alignment horizontal="center"/>
    </xf>
    <xf numFmtId="0" fontId="0" fillId="0" borderId="0" xfId="0" applyAlignment="1">
      <alignment horizontal="center"/>
    </xf>
    <xf numFmtId="0" fontId="40" fillId="0" borderId="0" xfId="42" applyAlignment="1">
      <alignment/>
    </xf>
    <xf numFmtId="0" fontId="56" fillId="0" borderId="10" xfId="0" applyFont="1" applyBorder="1" applyAlignment="1">
      <alignment vertical="top" wrapText="1"/>
    </xf>
    <xf numFmtId="49" fontId="1" fillId="0" borderId="10" xfId="0" applyNumberFormat="1" applyFont="1" applyBorder="1" applyAlignment="1" quotePrefix="1">
      <alignment horizontal="center" vertical="top" wrapText="1"/>
    </xf>
    <xf numFmtId="180" fontId="7" fillId="0" borderId="11" xfId="0" applyNumberFormat="1" applyFont="1" applyBorder="1" applyAlignment="1" quotePrefix="1">
      <alignment vertical="top" wrapText="1"/>
    </xf>
    <xf numFmtId="1" fontId="1" fillId="0" borderId="10" xfId="0" applyNumberFormat="1" applyFont="1" applyBorder="1" applyAlignment="1" quotePrefix="1">
      <alignment horizontal="center" vertical="top" wrapText="1"/>
    </xf>
    <xf numFmtId="180" fontId="7" fillId="0" borderId="10" xfId="0" applyNumberFormat="1" applyFont="1" applyBorder="1" applyAlignment="1" quotePrefix="1">
      <alignment vertical="top" wrapText="1"/>
    </xf>
    <xf numFmtId="2" fontId="1" fillId="34" borderId="10" xfId="0" applyNumberFormat="1" applyFont="1" applyFill="1" applyBorder="1" applyAlignment="1">
      <alignment vertical="top" wrapText="1"/>
    </xf>
    <xf numFmtId="2" fontId="1" fillId="0" borderId="10" xfId="0" applyNumberFormat="1" applyFont="1" applyBorder="1" applyAlignment="1">
      <alignment vertical="top" wrapText="1"/>
    </xf>
    <xf numFmtId="182" fontId="7" fillId="6" borderId="0" xfId="0" applyNumberFormat="1" applyFont="1" applyFill="1" applyBorder="1" applyAlignment="1">
      <alignment vertical="top"/>
    </xf>
    <xf numFmtId="0" fontId="0" fillId="0" borderId="0" xfId="0" applyFont="1" applyBorder="1" applyAlignment="1">
      <alignment/>
    </xf>
    <xf numFmtId="2" fontId="1" fillId="33" borderId="11" xfId="0" applyNumberFormat="1" applyFont="1" applyFill="1" applyBorder="1" applyAlignment="1">
      <alignment vertical="top" wrapText="1"/>
    </xf>
    <xf numFmtId="0" fontId="0" fillId="0" borderId="0" xfId="0" applyBorder="1" applyAlignment="1">
      <alignment/>
    </xf>
    <xf numFmtId="0" fontId="1" fillId="0" borderId="0" xfId="0" applyFont="1" applyBorder="1" applyAlignment="1" quotePrefix="1">
      <alignment horizontal="center" vertical="top" wrapText="1"/>
    </xf>
    <xf numFmtId="180" fontId="1" fillId="0" borderId="0" xfId="0" applyNumberFormat="1" applyFont="1" applyBorder="1" applyAlignment="1" quotePrefix="1">
      <alignment horizontal="center" vertical="top" wrapText="1"/>
    </xf>
    <xf numFmtId="180" fontId="1" fillId="0" borderId="0" xfId="0" applyNumberFormat="1" applyFont="1" applyBorder="1" applyAlignment="1">
      <alignment vertical="top" wrapText="1"/>
    </xf>
    <xf numFmtId="2" fontId="6" fillId="0" borderId="10" xfId="0" applyNumberFormat="1" applyFont="1" applyBorder="1" applyAlignment="1">
      <alignment vertical="top"/>
    </xf>
    <xf numFmtId="0" fontId="10" fillId="0" borderId="0" xfId="0" applyFont="1" applyAlignment="1">
      <alignment/>
    </xf>
    <xf numFmtId="2" fontId="57" fillId="0" borderId="10" xfId="0" applyNumberFormat="1" applyFont="1" applyBorder="1" applyAlignment="1">
      <alignment vertical="top" wrapText="1"/>
    </xf>
    <xf numFmtId="2" fontId="0" fillId="33" borderId="10" xfId="0" applyNumberFormat="1" applyFont="1" applyFill="1" applyBorder="1" applyAlignment="1">
      <alignment vertical="top" wrapText="1"/>
    </xf>
    <xf numFmtId="2" fontId="0" fillId="34" borderId="10" xfId="0" applyNumberFormat="1" applyFont="1" applyFill="1" applyBorder="1" applyAlignment="1">
      <alignment vertical="top" wrapText="1"/>
    </xf>
    <xf numFmtId="2" fontId="57" fillId="33" borderId="10" xfId="0" applyNumberFormat="1" applyFont="1" applyFill="1" applyBorder="1" applyAlignment="1">
      <alignment vertical="top" wrapText="1"/>
    </xf>
    <xf numFmtId="2" fontId="57" fillId="34" borderId="10" xfId="0" applyNumberFormat="1" applyFont="1" applyFill="1" applyBorder="1" applyAlignment="1">
      <alignment vertical="top" wrapText="1"/>
    </xf>
    <xf numFmtId="2" fontId="6" fillId="34" borderId="10" xfId="0" applyNumberFormat="1" applyFont="1" applyFill="1" applyBorder="1" applyAlignment="1">
      <alignment vertical="top"/>
    </xf>
    <xf numFmtId="2" fontId="53" fillId="0" borderId="10" xfId="0" applyNumberFormat="1" applyFont="1" applyBorder="1" applyAlignment="1">
      <alignment vertical="top" wrapText="1"/>
    </xf>
    <xf numFmtId="2" fontId="53" fillId="0" borderId="10" xfId="0" applyNumberFormat="1" applyFont="1" applyBorder="1" applyAlignment="1">
      <alignment vertical="top"/>
    </xf>
    <xf numFmtId="2" fontId="53" fillId="34" borderId="10" xfId="0" applyNumberFormat="1" applyFont="1" applyFill="1" applyBorder="1" applyAlignment="1">
      <alignment vertical="top"/>
    </xf>
    <xf numFmtId="2" fontId="7" fillId="0" borderId="10" xfId="0" applyNumberFormat="1" applyFont="1" applyBorder="1" applyAlignment="1">
      <alignment vertical="top"/>
    </xf>
    <xf numFmtId="2" fontId="7" fillId="34" borderId="10" xfId="0" applyNumberFormat="1" applyFont="1" applyFill="1" applyBorder="1" applyAlignment="1">
      <alignment vertical="top"/>
    </xf>
    <xf numFmtId="2" fontId="58" fillId="0" borderId="10" xfId="0" applyNumberFormat="1" applyFont="1" applyBorder="1" applyAlignment="1">
      <alignment vertical="top"/>
    </xf>
    <xf numFmtId="2" fontId="0" fillId="0" borderId="0" xfId="0" applyNumberFormat="1" applyAlignment="1">
      <alignment vertical="top"/>
    </xf>
    <xf numFmtId="49" fontId="1" fillId="0" borderId="11" xfId="0" applyNumberFormat="1" applyFont="1" applyBorder="1" applyAlignment="1" quotePrefix="1">
      <alignment horizontal="center" vertical="top" wrapText="1"/>
    </xf>
    <xf numFmtId="0" fontId="0" fillId="0" borderId="10" xfId="0" applyFont="1" applyBorder="1" applyAlignment="1" quotePrefix="1">
      <alignment horizontal="center" vertical="top" wrapText="1"/>
    </xf>
    <xf numFmtId="49" fontId="0" fillId="0" borderId="10" xfId="0" applyNumberFormat="1" applyFont="1" applyBorder="1" applyAlignment="1" quotePrefix="1">
      <alignment horizontal="center" vertical="top" wrapText="1"/>
    </xf>
    <xf numFmtId="180" fontId="0" fillId="0" borderId="10" xfId="0" applyNumberFormat="1" applyFont="1" applyBorder="1" applyAlignment="1">
      <alignment vertical="top" wrapText="1"/>
    </xf>
    <xf numFmtId="180" fontId="6" fillId="0" borderId="11" xfId="0" applyNumberFormat="1" applyFont="1" applyBorder="1" applyAlignment="1" quotePrefix="1">
      <alignment vertical="top" wrapText="1"/>
    </xf>
    <xf numFmtId="0" fontId="10" fillId="0" borderId="0" xfId="0" applyFont="1" applyAlignment="1">
      <alignment horizontal="center" vertical="center"/>
    </xf>
    <xf numFmtId="0" fontId="0" fillId="0" borderId="13" xfId="0" applyBorder="1" applyAlignment="1">
      <alignment horizontal="center"/>
    </xf>
    <xf numFmtId="0" fontId="0" fillId="0" borderId="14" xfId="0" applyBorder="1" applyAlignment="1">
      <alignment horizontal="center"/>
    </xf>
    <xf numFmtId="0" fontId="0" fillId="0" borderId="10" xfId="0" applyBorder="1" applyAlignment="1">
      <alignment horizontal="center" vertical="center" wrapText="1"/>
    </xf>
    <xf numFmtId="0" fontId="0" fillId="33" borderId="10" xfId="0" applyFill="1" applyBorder="1" applyAlignment="1">
      <alignment horizontal="center" vertical="center" wrapText="1"/>
    </xf>
    <xf numFmtId="0" fontId="9" fillId="0" borderId="11"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12" xfId="0" applyFont="1" applyBorder="1" applyAlignment="1">
      <alignment horizontal="center" vertical="center" wrapText="1"/>
    </xf>
    <xf numFmtId="0" fontId="1" fillId="0" borderId="0" xfId="0" applyFont="1" applyAlignment="1">
      <alignment horizontal="center"/>
    </xf>
    <xf numFmtId="0" fontId="0" fillId="0" borderId="0" xfId="0" applyAlignment="1">
      <alignment horizontal="center"/>
    </xf>
    <xf numFmtId="0" fontId="2" fillId="0" borderId="10" xfId="0" applyFont="1" applyBorder="1" applyAlignment="1">
      <alignment horizontal="center" vertical="center" wrapText="1"/>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A151"/>
  <sheetViews>
    <sheetView tabSelected="1" view="pageBreakPreview" zoomScale="75" zoomScaleSheetLayoutView="75" workbookViewId="0" topLeftCell="A1">
      <pane ySplit="13" topLeftCell="A114" activePane="bottomLeft" state="frozen"/>
      <selection pane="topLeft" activeCell="B1" sqref="B1"/>
      <selection pane="bottomLeft" activeCell="L20" sqref="L20"/>
    </sheetView>
  </sheetViews>
  <sheetFormatPr defaultColWidth="9.00390625" defaultRowHeight="12.75"/>
  <cols>
    <col min="1" max="3" width="12.00390625" style="0" customWidth="1"/>
    <col min="4" max="4" width="40.75390625" style="0" customWidth="1"/>
    <col min="5" max="5" width="18.00390625" style="0" customWidth="1"/>
    <col min="6" max="7" width="14.375" style="0" customWidth="1"/>
    <col min="8" max="8" width="16.00390625" style="0" customWidth="1"/>
    <col min="9" max="9" width="15.125" style="0" customWidth="1"/>
    <col min="10" max="10" width="19.875" style="0" customWidth="1"/>
    <col min="11" max="11" width="14.125" style="0" customWidth="1"/>
    <col min="12" max="12" width="13.375" style="0" customWidth="1"/>
    <col min="13" max="13" width="13.125" style="0" customWidth="1"/>
    <col min="14" max="14" width="14.25390625" style="0" customWidth="1"/>
    <col min="15" max="15" width="12.875" style="0" customWidth="1"/>
    <col min="16" max="16" width="15.125" style="0" customWidth="1"/>
    <col min="18" max="18" width="14.375" style="0" bestFit="1" customWidth="1"/>
  </cols>
  <sheetData>
    <row r="1" spans="1:14" ht="12.75">
      <c r="A1" t="s">
        <v>0</v>
      </c>
      <c r="N1" t="s">
        <v>167</v>
      </c>
    </row>
    <row r="2" ht="12.75">
      <c r="N2" t="s">
        <v>28</v>
      </c>
    </row>
    <row r="3" ht="12.75">
      <c r="N3" t="s">
        <v>183</v>
      </c>
    </row>
    <row r="5" spans="1:16" ht="12.75">
      <c r="A5" s="127" t="s">
        <v>133</v>
      </c>
      <c r="B5" s="128"/>
      <c r="C5" s="128"/>
      <c r="D5" s="128"/>
      <c r="E5" s="128"/>
      <c r="F5" s="128"/>
      <c r="G5" s="128"/>
      <c r="H5" s="128"/>
      <c r="I5" s="128"/>
      <c r="J5" s="128"/>
      <c r="K5" s="128"/>
      <c r="L5" s="128"/>
      <c r="M5" s="128"/>
      <c r="N5" s="128"/>
      <c r="O5" s="128"/>
      <c r="P5" s="128"/>
    </row>
    <row r="6" spans="1:16" ht="12.75">
      <c r="A6" s="127" t="s">
        <v>114</v>
      </c>
      <c r="B6" s="128"/>
      <c r="C6" s="128"/>
      <c r="D6" s="128"/>
      <c r="E6" s="128"/>
      <c r="F6" s="128"/>
      <c r="G6" s="128"/>
      <c r="H6" s="128"/>
      <c r="I6" s="128"/>
      <c r="J6" s="128"/>
      <c r="K6" s="128"/>
      <c r="L6" s="128"/>
      <c r="M6" s="128"/>
      <c r="N6" s="128"/>
      <c r="O6" s="128"/>
      <c r="P6" s="128"/>
    </row>
    <row r="7" spans="1:16" ht="12.75">
      <c r="A7" s="82"/>
      <c r="B7" s="83"/>
      <c r="C7" s="83"/>
      <c r="D7" s="83"/>
      <c r="E7" s="83"/>
      <c r="F7" s="83"/>
      <c r="G7" s="83"/>
      <c r="H7" s="83"/>
      <c r="I7" s="83"/>
      <c r="J7" s="83"/>
      <c r="K7" s="83"/>
      <c r="L7" s="83"/>
      <c r="M7" s="83"/>
      <c r="N7" s="83"/>
      <c r="O7" s="83"/>
      <c r="P7" s="83"/>
    </row>
    <row r="8" spans="1:16" ht="12.75">
      <c r="A8" s="82"/>
      <c r="B8" s="120">
        <v>14502000000</v>
      </c>
      <c r="C8" s="120"/>
      <c r="D8" s="83"/>
      <c r="E8" s="83"/>
      <c r="F8" s="83"/>
      <c r="G8" s="83"/>
      <c r="H8" s="83"/>
      <c r="I8" s="83"/>
      <c r="J8" s="83"/>
      <c r="K8" s="83"/>
      <c r="L8" s="83"/>
      <c r="M8" s="83"/>
      <c r="N8" s="83"/>
      <c r="O8" s="83"/>
      <c r="P8" s="83"/>
    </row>
    <row r="9" spans="2:16" ht="12.75">
      <c r="B9" s="121" t="s">
        <v>115</v>
      </c>
      <c r="C9" s="121"/>
      <c r="P9" s="1" t="s">
        <v>110</v>
      </c>
    </row>
    <row r="10" spans="1:16" ht="12.75">
      <c r="A10" s="129" t="s">
        <v>116</v>
      </c>
      <c r="B10" s="129" t="s">
        <v>117</v>
      </c>
      <c r="C10" s="129" t="s">
        <v>104</v>
      </c>
      <c r="D10" s="122" t="s">
        <v>118</v>
      </c>
      <c r="E10" s="122" t="s">
        <v>1</v>
      </c>
      <c r="F10" s="122"/>
      <c r="G10" s="122"/>
      <c r="H10" s="122"/>
      <c r="I10" s="122"/>
      <c r="J10" s="122" t="s">
        <v>8</v>
      </c>
      <c r="K10" s="122"/>
      <c r="L10" s="122"/>
      <c r="M10" s="122"/>
      <c r="N10" s="122"/>
      <c r="O10" s="122"/>
      <c r="P10" s="123" t="s">
        <v>37</v>
      </c>
    </row>
    <row r="11" spans="1:16" ht="12.75">
      <c r="A11" s="122"/>
      <c r="B11" s="122"/>
      <c r="C11" s="122"/>
      <c r="D11" s="122"/>
      <c r="E11" s="123" t="s">
        <v>105</v>
      </c>
      <c r="F11" s="122" t="s">
        <v>3</v>
      </c>
      <c r="G11" s="122" t="s">
        <v>4</v>
      </c>
      <c r="H11" s="122"/>
      <c r="I11" s="122" t="s">
        <v>7</v>
      </c>
      <c r="J11" s="123" t="s">
        <v>105</v>
      </c>
      <c r="K11" s="124" t="s">
        <v>106</v>
      </c>
      <c r="L11" s="122" t="s">
        <v>3</v>
      </c>
      <c r="M11" s="122" t="s">
        <v>4</v>
      </c>
      <c r="N11" s="122"/>
      <c r="O11" s="122" t="s">
        <v>7</v>
      </c>
      <c r="P11" s="122"/>
    </row>
    <row r="12" spans="1:16" ht="12.75" customHeight="1">
      <c r="A12" s="122"/>
      <c r="B12" s="122"/>
      <c r="C12" s="122"/>
      <c r="D12" s="122"/>
      <c r="E12" s="122"/>
      <c r="F12" s="122"/>
      <c r="G12" s="122" t="s">
        <v>5</v>
      </c>
      <c r="H12" s="122" t="s">
        <v>6</v>
      </c>
      <c r="I12" s="122"/>
      <c r="J12" s="122"/>
      <c r="K12" s="125"/>
      <c r="L12" s="122"/>
      <c r="M12" s="122" t="s">
        <v>5</v>
      </c>
      <c r="N12" s="122" t="s">
        <v>6</v>
      </c>
      <c r="O12" s="122"/>
      <c r="P12" s="122"/>
    </row>
    <row r="13" spans="1:16" ht="58.5" customHeight="1">
      <c r="A13" s="122"/>
      <c r="B13" s="122"/>
      <c r="C13" s="122"/>
      <c r="D13" s="122"/>
      <c r="E13" s="122"/>
      <c r="F13" s="122"/>
      <c r="G13" s="122"/>
      <c r="H13" s="122"/>
      <c r="I13" s="122"/>
      <c r="J13" s="122"/>
      <c r="K13" s="126"/>
      <c r="L13" s="122"/>
      <c r="M13" s="122"/>
      <c r="N13" s="122"/>
      <c r="O13" s="122"/>
      <c r="P13" s="122"/>
    </row>
    <row r="14" spans="1:16" ht="12.75">
      <c r="A14" s="4">
        <v>1</v>
      </c>
      <c r="B14" s="4">
        <v>2</v>
      </c>
      <c r="C14" s="4">
        <v>3</v>
      </c>
      <c r="D14" s="4">
        <v>4</v>
      </c>
      <c r="E14" s="5">
        <v>5</v>
      </c>
      <c r="F14" s="4">
        <v>6</v>
      </c>
      <c r="G14" s="4">
        <v>7</v>
      </c>
      <c r="H14" s="4">
        <v>8</v>
      </c>
      <c r="I14" s="4">
        <v>9</v>
      </c>
      <c r="J14" s="5">
        <v>10</v>
      </c>
      <c r="K14" s="69">
        <v>11</v>
      </c>
      <c r="L14" s="4">
        <v>12</v>
      </c>
      <c r="M14" s="4">
        <v>13</v>
      </c>
      <c r="N14" s="4">
        <v>14</v>
      </c>
      <c r="O14" s="4">
        <v>15</v>
      </c>
      <c r="P14" s="5">
        <v>16</v>
      </c>
    </row>
    <row r="15" spans="1:16" ht="12.75">
      <c r="A15" s="6" t="s">
        <v>9</v>
      </c>
      <c r="B15" s="7"/>
      <c r="C15" s="8"/>
      <c r="D15" s="9" t="s">
        <v>10</v>
      </c>
      <c r="E15" s="10"/>
      <c r="F15" s="11"/>
      <c r="G15" s="11"/>
      <c r="H15" s="11"/>
      <c r="I15" s="11"/>
      <c r="J15" s="10"/>
      <c r="K15" s="70"/>
      <c r="L15" s="11"/>
      <c r="M15" s="11"/>
      <c r="N15" s="11"/>
      <c r="O15" s="11"/>
      <c r="P15" s="10"/>
    </row>
    <row r="16" spans="1:16" ht="12.75">
      <c r="A16" s="6" t="s">
        <v>11</v>
      </c>
      <c r="B16" s="7"/>
      <c r="C16" s="8"/>
      <c r="D16" s="9" t="s">
        <v>10</v>
      </c>
      <c r="E16" s="10"/>
      <c r="F16" s="11"/>
      <c r="G16" s="11"/>
      <c r="H16" s="11"/>
      <c r="I16" s="11"/>
      <c r="J16" s="10"/>
      <c r="K16" s="70"/>
      <c r="L16" s="11"/>
      <c r="M16" s="11"/>
      <c r="N16" s="11"/>
      <c r="O16" s="11"/>
      <c r="P16" s="10"/>
    </row>
    <row r="17" spans="1:16" s="54" customFormat="1" ht="87.75" customHeight="1">
      <c r="A17" s="35" t="s">
        <v>51</v>
      </c>
      <c r="B17" s="35" t="s">
        <v>52</v>
      </c>
      <c r="C17" s="36" t="s">
        <v>12</v>
      </c>
      <c r="D17" s="34" t="s">
        <v>40</v>
      </c>
      <c r="E17" s="76">
        <f aca="true" t="shared" si="0" ref="E17:E24">F17+I17</f>
        <v>24693946</v>
      </c>
      <c r="F17" s="91">
        <f>24775746+300000+40000-400000-15000+25000-8500+45000-45000-16100-7200</f>
        <v>24693946</v>
      </c>
      <c r="G17" s="91">
        <f>18398859+246000-327800</f>
        <v>18317059</v>
      </c>
      <c r="H17" s="91">
        <f>612600-45000</f>
        <v>567600</v>
      </c>
      <c r="I17" s="91">
        <v>0</v>
      </c>
      <c r="J17" s="76">
        <f>L17+O17</f>
        <v>50839</v>
      </c>
      <c r="K17" s="90">
        <f>32000+15000-1200</f>
        <v>45800</v>
      </c>
      <c r="L17" s="91">
        <v>5039</v>
      </c>
      <c r="M17" s="91">
        <v>0</v>
      </c>
      <c r="N17" s="91">
        <v>0</v>
      </c>
      <c r="O17" s="91">
        <f>32000+15000-1200</f>
        <v>45800</v>
      </c>
      <c r="P17" s="76">
        <f aca="true" t="shared" si="1" ref="P17:P24">E17+J17</f>
        <v>24744785</v>
      </c>
    </row>
    <row r="18" spans="1:16" s="54" customFormat="1" ht="36" customHeight="1">
      <c r="A18" s="115" t="s">
        <v>178</v>
      </c>
      <c r="B18" s="116" t="s">
        <v>179</v>
      </c>
      <c r="C18" s="116" t="s">
        <v>49</v>
      </c>
      <c r="D18" s="118" t="s">
        <v>180</v>
      </c>
      <c r="E18" s="76">
        <f t="shared" si="0"/>
        <v>1162459</v>
      </c>
      <c r="F18" s="91">
        <v>1162459</v>
      </c>
      <c r="G18" s="91">
        <v>673196</v>
      </c>
      <c r="H18" s="91">
        <v>1125</v>
      </c>
      <c r="I18" s="91"/>
      <c r="J18" s="76"/>
      <c r="K18" s="90"/>
      <c r="L18" s="91"/>
      <c r="M18" s="91"/>
      <c r="N18" s="91"/>
      <c r="O18" s="91"/>
      <c r="P18" s="76">
        <f t="shared" si="1"/>
        <v>1162459</v>
      </c>
    </row>
    <row r="19" spans="1:16" s="54" customFormat="1" ht="18" customHeight="1">
      <c r="A19" s="115"/>
      <c r="B19" s="116"/>
      <c r="C19" s="116"/>
      <c r="D19" s="118" t="s">
        <v>181</v>
      </c>
      <c r="E19" s="76"/>
      <c r="F19" s="91"/>
      <c r="G19" s="91"/>
      <c r="H19" s="91"/>
      <c r="I19" s="91"/>
      <c r="J19" s="76"/>
      <c r="K19" s="90"/>
      <c r="L19" s="91"/>
      <c r="M19" s="91"/>
      <c r="N19" s="91"/>
      <c r="O19" s="91"/>
      <c r="P19" s="76"/>
    </row>
    <row r="20" spans="1:16" s="54" customFormat="1" ht="77.25" customHeight="1">
      <c r="A20" s="115"/>
      <c r="B20" s="116"/>
      <c r="C20" s="116"/>
      <c r="D20" s="118" t="s">
        <v>182</v>
      </c>
      <c r="E20" s="76">
        <f>F20+I20</f>
        <v>1162459</v>
      </c>
      <c r="F20" s="91">
        <f>F18</f>
        <v>1162459</v>
      </c>
      <c r="G20" s="91">
        <f>G18</f>
        <v>673196</v>
      </c>
      <c r="H20" s="91">
        <f>H18</f>
        <v>1125</v>
      </c>
      <c r="I20" s="91">
        <f>I18</f>
        <v>0</v>
      </c>
      <c r="J20" s="76"/>
      <c r="K20" s="90"/>
      <c r="L20" s="91"/>
      <c r="M20" s="91"/>
      <c r="N20" s="91"/>
      <c r="O20" s="91"/>
      <c r="P20" s="76">
        <f t="shared" si="1"/>
        <v>1162459</v>
      </c>
    </row>
    <row r="21" spans="1:16" s="54" customFormat="1" ht="51.75" customHeight="1">
      <c r="A21" s="35" t="s">
        <v>134</v>
      </c>
      <c r="B21" s="35" t="s">
        <v>135</v>
      </c>
      <c r="C21" s="36" t="s">
        <v>136</v>
      </c>
      <c r="D21" s="87" t="s">
        <v>137</v>
      </c>
      <c r="E21" s="76">
        <f t="shared" si="0"/>
        <v>20000</v>
      </c>
      <c r="F21" s="91">
        <f>12000+2700+5300</f>
        <v>20000</v>
      </c>
      <c r="G21" s="91"/>
      <c r="H21" s="91"/>
      <c r="I21" s="91"/>
      <c r="J21" s="76">
        <f>L21+O21</f>
        <v>4486</v>
      </c>
      <c r="K21" s="90">
        <f>9786-5300</f>
        <v>4486</v>
      </c>
      <c r="L21" s="91"/>
      <c r="M21" s="91"/>
      <c r="N21" s="91"/>
      <c r="O21" s="91">
        <f>9786-5300</f>
        <v>4486</v>
      </c>
      <c r="P21" s="76">
        <f t="shared" si="1"/>
        <v>24486</v>
      </c>
    </row>
    <row r="22" spans="1:16" s="54" customFormat="1" ht="36.75" customHeight="1">
      <c r="A22" s="35" t="s">
        <v>32</v>
      </c>
      <c r="B22" s="35"/>
      <c r="C22" s="36"/>
      <c r="D22" s="38" t="s">
        <v>33</v>
      </c>
      <c r="E22" s="76">
        <f t="shared" si="0"/>
        <v>607500</v>
      </c>
      <c r="F22" s="91">
        <f>F24+F26+F28+F23</f>
        <v>607500</v>
      </c>
      <c r="G22" s="91">
        <f>G24+G26+G28</f>
        <v>0</v>
      </c>
      <c r="H22" s="91">
        <f>H24+H26+H28</f>
        <v>0</v>
      </c>
      <c r="I22" s="91">
        <f>I24+I26+I28</f>
        <v>0</v>
      </c>
      <c r="J22" s="76">
        <f>L22+O22</f>
        <v>8350</v>
      </c>
      <c r="K22" s="91">
        <f>K24+K26+K28+K23</f>
        <v>8350</v>
      </c>
      <c r="L22" s="91">
        <f>L24+L26+L28+L23</f>
        <v>0</v>
      </c>
      <c r="M22" s="91">
        <f>M24+M26+M28+M23</f>
        <v>0</v>
      </c>
      <c r="N22" s="91">
        <f>N24+N26+N28+N23</f>
        <v>0</v>
      </c>
      <c r="O22" s="91">
        <f>O24+O26+O28+O23</f>
        <v>8350</v>
      </c>
      <c r="P22" s="76">
        <f t="shared" si="1"/>
        <v>615850</v>
      </c>
    </row>
    <row r="23" spans="1:16" s="54" customFormat="1" ht="75" customHeight="1">
      <c r="A23" s="35" t="s">
        <v>138</v>
      </c>
      <c r="B23" s="35">
        <v>3111</v>
      </c>
      <c r="C23" s="88">
        <v>1040</v>
      </c>
      <c r="D23" s="89" t="s">
        <v>139</v>
      </c>
      <c r="E23" s="76">
        <f t="shared" si="0"/>
        <v>1500</v>
      </c>
      <c r="F23" s="91">
        <v>1500</v>
      </c>
      <c r="G23" s="91"/>
      <c r="H23" s="91"/>
      <c r="I23" s="91"/>
      <c r="J23" s="76">
        <f>L23+O23</f>
        <v>8350</v>
      </c>
      <c r="K23" s="91">
        <f>10000-1650</f>
        <v>8350</v>
      </c>
      <c r="L23" s="91"/>
      <c r="M23" s="91"/>
      <c r="N23" s="91"/>
      <c r="O23" s="91">
        <f>10000-1650</f>
        <v>8350</v>
      </c>
      <c r="P23" s="76">
        <f t="shared" si="1"/>
        <v>9850</v>
      </c>
    </row>
    <row r="24" spans="1:16" s="54" customFormat="1" ht="87.75" customHeight="1">
      <c r="A24" s="27" t="s">
        <v>54</v>
      </c>
      <c r="B24" s="27">
        <v>3180</v>
      </c>
      <c r="C24" s="28" t="s">
        <v>41</v>
      </c>
      <c r="D24" s="31" t="s">
        <v>53</v>
      </c>
      <c r="E24" s="76">
        <f t="shared" si="0"/>
        <v>45000</v>
      </c>
      <c r="F24" s="91">
        <v>45000</v>
      </c>
      <c r="G24" s="91"/>
      <c r="H24" s="91"/>
      <c r="I24" s="91"/>
      <c r="J24" s="76"/>
      <c r="K24" s="90"/>
      <c r="L24" s="91"/>
      <c r="M24" s="91"/>
      <c r="N24" s="91"/>
      <c r="O24" s="91"/>
      <c r="P24" s="76">
        <f t="shared" si="1"/>
        <v>45000</v>
      </c>
    </row>
    <row r="25" spans="1:16" s="54" customFormat="1" ht="3" customHeight="1">
      <c r="A25" s="29"/>
      <c r="B25" s="29"/>
      <c r="C25" s="30"/>
      <c r="D25" s="40"/>
      <c r="E25" s="76"/>
      <c r="F25" s="91"/>
      <c r="G25" s="91"/>
      <c r="H25" s="91"/>
      <c r="I25" s="91"/>
      <c r="J25" s="76"/>
      <c r="K25" s="90"/>
      <c r="L25" s="91"/>
      <c r="M25" s="91"/>
      <c r="N25" s="91"/>
      <c r="O25" s="91"/>
      <c r="P25" s="76"/>
    </row>
    <row r="26" spans="1:16" s="54" customFormat="1" ht="25.5">
      <c r="A26" s="24" t="s">
        <v>101</v>
      </c>
      <c r="B26" s="24" t="s">
        <v>102</v>
      </c>
      <c r="C26" s="17" t="s">
        <v>16</v>
      </c>
      <c r="D26" s="25" t="s">
        <v>38</v>
      </c>
      <c r="E26" s="76">
        <f>I26+F26</f>
        <v>226000</v>
      </c>
      <c r="F26" s="91">
        <v>226000</v>
      </c>
      <c r="G26" s="91"/>
      <c r="H26" s="91"/>
      <c r="I26" s="91"/>
      <c r="J26" s="76"/>
      <c r="K26" s="90"/>
      <c r="L26" s="91"/>
      <c r="M26" s="91"/>
      <c r="N26" s="91"/>
      <c r="O26" s="91"/>
      <c r="P26" s="76">
        <f aca="true" t="shared" si="2" ref="P26:P63">E26+J26</f>
        <v>226000</v>
      </c>
    </row>
    <row r="27" spans="1:16" s="54" customFormat="1" ht="6" customHeight="1">
      <c r="A27" s="35"/>
      <c r="B27" s="35"/>
      <c r="C27" s="36"/>
      <c r="D27" s="39"/>
      <c r="E27" s="76"/>
      <c r="F27" s="91"/>
      <c r="G27" s="91"/>
      <c r="H27" s="91"/>
      <c r="I27" s="91"/>
      <c r="J27" s="76"/>
      <c r="K27" s="90"/>
      <c r="L27" s="91"/>
      <c r="M27" s="91"/>
      <c r="N27" s="91"/>
      <c r="O27" s="91"/>
      <c r="P27" s="76"/>
    </row>
    <row r="28" spans="1:16" s="54" customFormat="1" ht="25.5">
      <c r="A28" s="35" t="s">
        <v>90</v>
      </c>
      <c r="B28" s="35">
        <v>3242</v>
      </c>
      <c r="C28" s="36" t="s">
        <v>17</v>
      </c>
      <c r="D28" s="38" t="s">
        <v>89</v>
      </c>
      <c r="E28" s="76">
        <f>F28+I28</f>
        <v>335000</v>
      </c>
      <c r="F28" s="91">
        <f>315000+20000</f>
        <v>335000</v>
      </c>
      <c r="G28" s="91">
        <v>0</v>
      </c>
      <c r="H28" s="91">
        <v>0</v>
      </c>
      <c r="I28" s="91">
        <v>0</v>
      </c>
      <c r="J28" s="76">
        <v>0</v>
      </c>
      <c r="K28" s="90"/>
      <c r="L28" s="91">
        <v>0</v>
      </c>
      <c r="M28" s="91">
        <v>0</v>
      </c>
      <c r="N28" s="91">
        <v>0</v>
      </c>
      <c r="O28" s="91">
        <v>0</v>
      </c>
      <c r="P28" s="76">
        <f t="shared" si="2"/>
        <v>335000</v>
      </c>
    </row>
    <row r="29" spans="1:16" s="54" customFormat="1" ht="4.5" customHeight="1">
      <c r="A29" s="35"/>
      <c r="B29" s="35"/>
      <c r="C29" s="36"/>
      <c r="D29" s="38"/>
      <c r="E29" s="76"/>
      <c r="F29" s="91"/>
      <c r="G29" s="91"/>
      <c r="H29" s="91"/>
      <c r="I29" s="91"/>
      <c r="J29" s="76"/>
      <c r="K29" s="90"/>
      <c r="L29" s="91"/>
      <c r="M29" s="91"/>
      <c r="N29" s="91"/>
      <c r="O29" s="91"/>
      <c r="P29" s="76"/>
    </row>
    <row r="30" spans="1:16" s="54" customFormat="1" ht="3.75" customHeight="1">
      <c r="A30" s="35"/>
      <c r="B30" s="35"/>
      <c r="C30" s="36"/>
      <c r="D30" s="39"/>
      <c r="E30" s="76"/>
      <c r="F30" s="91"/>
      <c r="G30" s="91"/>
      <c r="H30" s="91"/>
      <c r="I30" s="91"/>
      <c r="J30" s="76"/>
      <c r="K30" s="90"/>
      <c r="L30" s="91"/>
      <c r="M30" s="91"/>
      <c r="N30" s="91"/>
      <c r="O30" s="91"/>
      <c r="P30" s="76"/>
    </row>
    <row r="31" spans="1:16" s="54" customFormat="1" ht="22.5" customHeight="1">
      <c r="A31" s="35" t="s">
        <v>91</v>
      </c>
      <c r="B31" s="35">
        <v>4082</v>
      </c>
      <c r="C31" s="67" t="s">
        <v>19</v>
      </c>
      <c r="D31" s="38" t="s">
        <v>92</v>
      </c>
      <c r="E31" s="76">
        <f>F31</f>
        <v>30000</v>
      </c>
      <c r="F31" s="91">
        <v>30000</v>
      </c>
      <c r="G31" s="91"/>
      <c r="H31" s="91"/>
      <c r="I31" s="91"/>
      <c r="J31" s="76"/>
      <c r="K31" s="90"/>
      <c r="L31" s="91"/>
      <c r="M31" s="91"/>
      <c r="N31" s="91"/>
      <c r="O31" s="91"/>
      <c r="P31" s="76">
        <f>E31+J31</f>
        <v>30000</v>
      </c>
    </row>
    <row r="32" spans="1:16" s="54" customFormat="1" ht="36.75" customHeight="1">
      <c r="A32" s="35" t="s">
        <v>111</v>
      </c>
      <c r="B32" s="35">
        <v>6013</v>
      </c>
      <c r="C32" s="36" t="s">
        <v>21</v>
      </c>
      <c r="D32" s="38" t="s">
        <v>112</v>
      </c>
      <c r="E32" s="76">
        <f>F32</f>
        <v>1900000</v>
      </c>
      <c r="F32" s="91">
        <f>375700+18000+15000+1400000+91300</f>
        <v>1900000</v>
      </c>
      <c r="G32" s="91"/>
      <c r="H32" s="91"/>
      <c r="I32" s="91"/>
      <c r="J32" s="76">
        <f>L32+O32</f>
        <v>0</v>
      </c>
      <c r="K32" s="90"/>
      <c r="L32" s="90"/>
      <c r="M32" s="90"/>
      <c r="N32" s="90"/>
      <c r="O32" s="90"/>
      <c r="P32" s="76">
        <f>E32+J32</f>
        <v>1900000</v>
      </c>
    </row>
    <row r="33" spans="1:16" s="54" customFormat="1" ht="25.5">
      <c r="A33" s="35" t="s">
        <v>55</v>
      </c>
      <c r="B33" s="35" t="s">
        <v>56</v>
      </c>
      <c r="C33" s="36" t="s">
        <v>21</v>
      </c>
      <c r="D33" s="38" t="s">
        <v>57</v>
      </c>
      <c r="E33" s="76">
        <f>F33+I33</f>
        <v>11059743</v>
      </c>
      <c r="F33" s="91">
        <f>9693668+4758000-1058000-950000-950000+25000-25000-1400000+1407665-111590-330000</f>
        <v>11059743</v>
      </c>
      <c r="G33" s="91">
        <v>208000</v>
      </c>
      <c r="H33" s="91">
        <v>1209908</v>
      </c>
      <c r="I33" s="91">
        <v>0</v>
      </c>
      <c r="J33" s="76">
        <f>L33+O33</f>
        <v>459000</v>
      </c>
      <c r="K33" s="90">
        <f>210000-150000+300000+99000</f>
        <v>459000</v>
      </c>
      <c r="L33" s="91"/>
      <c r="M33" s="91"/>
      <c r="N33" s="91"/>
      <c r="O33" s="91">
        <f>210000-150000+300000+99000</f>
        <v>459000</v>
      </c>
      <c r="P33" s="76">
        <f t="shared" si="2"/>
        <v>11518743</v>
      </c>
    </row>
    <row r="34" spans="1:16" s="54" customFormat="1" ht="25.5">
      <c r="A34" s="35" t="s">
        <v>65</v>
      </c>
      <c r="B34" s="35" t="s">
        <v>66</v>
      </c>
      <c r="C34" s="36" t="s">
        <v>67</v>
      </c>
      <c r="D34" s="38" t="s">
        <v>68</v>
      </c>
      <c r="E34" s="76">
        <f>F34+I34</f>
        <v>10000</v>
      </c>
      <c r="F34" s="91">
        <v>10000</v>
      </c>
      <c r="G34" s="101"/>
      <c r="H34" s="101"/>
      <c r="I34" s="101"/>
      <c r="J34" s="76">
        <f>L34+O34</f>
        <v>0</v>
      </c>
      <c r="K34" s="90"/>
      <c r="L34" s="91"/>
      <c r="M34" s="91"/>
      <c r="N34" s="91"/>
      <c r="O34" s="91"/>
      <c r="P34" s="76">
        <f t="shared" si="2"/>
        <v>10000</v>
      </c>
    </row>
    <row r="35" spans="1:16" s="54" customFormat="1" ht="30.75" customHeight="1">
      <c r="A35" s="35" t="s">
        <v>140</v>
      </c>
      <c r="B35" s="35">
        <v>7130</v>
      </c>
      <c r="C35" s="15" t="s">
        <v>141</v>
      </c>
      <c r="D35" s="38" t="s">
        <v>142</v>
      </c>
      <c r="E35" s="76">
        <f>F35+I35</f>
        <v>156200</v>
      </c>
      <c r="F35" s="91">
        <f>149000+7200</f>
        <v>156200</v>
      </c>
      <c r="G35" s="101"/>
      <c r="H35" s="101"/>
      <c r="I35" s="101"/>
      <c r="J35" s="76"/>
      <c r="K35" s="90"/>
      <c r="L35" s="91"/>
      <c r="M35" s="91"/>
      <c r="N35" s="91"/>
      <c r="O35" s="91"/>
      <c r="P35" s="76">
        <f t="shared" si="2"/>
        <v>156200</v>
      </c>
    </row>
    <row r="36" spans="1:16" s="54" customFormat="1" ht="39" customHeight="1">
      <c r="A36" s="35" t="s">
        <v>131</v>
      </c>
      <c r="B36" s="35">
        <v>7310</v>
      </c>
      <c r="C36" s="36" t="s">
        <v>58</v>
      </c>
      <c r="D36" s="38" t="s">
        <v>130</v>
      </c>
      <c r="E36" s="76"/>
      <c r="F36" s="91"/>
      <c r="G36" s="101"/>
      <c r="H36" s="101"/>
      <c r="I36" s="101"/>
      <c r="J36" s="76">
        <f>L36+O36</f>
        <v>150000</v>
      </c>
      <c r="K36" s="90">
        <v>150000</v>
      </c>
      <c r="L36" s="91"/>
      <c r="M36" s="91"/>
      <c r="N36" s="91"/>
      <c r="O36" s="91">
        <v>150000</v>
      </c>
      <c r="P36" s="76">
        <f t="shared" si="2"/>
        <v>150000</v>
      </c>
    </row>
    <row r="37" spans="1:16" s="54" customFormat="1" ht="39" customHeight="1">
      <c r="A37" s="67" t="s">
        <v>168</v>
      </c>
      <c r="B37" s="35">
        <v>7322</v>
      </c>
      <c r="C37" s="67" t="s">
        <v>58</v>
      </c>
      <c r="D37" s="40" t="s">
        <v>169</v>
      </c>
      <c r="E37" s="76"/>
      <c r="F37" s="91"/>
      <c r="G37" s="101"/>
      <c r="H37" s="101"/>
      <c r="I37" s="101"/>
      <c r="J37" s="76">
        <f>L37+O37</f>
        <v>16647</v>
      </c>
      <c r="K37" s="90">
        <f>29133-12486</f>
        <v>16647</v>
      </c>
      <c r="L37" s="91"/>
      <c r="M37" s="91"/>
      <c r="N37" s="91"/>
      <c r="O37" s="91">
        <f>29133-12486</f>
        <v>16647</v>
      </c>
      <c r="P37" s="76">
        <f t="shared" si="2"/>
        <v>16647</v>
      </c>
    </row>
    <row r="38" spans="1:16" s="54" customFormat="1" ht="39" customHeight="1">
      <c r="A38" s="35" t="s">
        <v>143</v>
      </c>
      <c r="B38" s="35" t="s">
        <v>144</v>
      </c>
      <c r="C38" s="36" t="s">
        <v>58</v>
      </c>
      <c r="D38" s="38" t="s">
        <v>145</v>
      </c>
      <c r="E38" s="76"/>
      <c r="F38" s="91"/>
      <c r="G38" s="101"/>
      <c r="H38" s="101"/>
      <c r="I38" s="101"/>
      <c r="J38" s="76">
        <f>L38+O38</f>
        <v>383926</v>
      </c>
      <c r="K38" s="90">
        <f>854704-479385+8607</f>
        <v>383926</v>
      </c>
      <c r="L38" s="91"/>
      <c r="M38" s="91"/>
      <c r="N38" s="91"/>
      <c r="O38" s="91">
        <f>854704-479385+8607</f>
        <v>383926</v>
      </c>
      <c r="P38" s="76">
        <f t="shared" si="2"/>
        <v>383926</v>
      </c>
    </row>
    <row r="39" spans="1:16" s="54" customFormat="1" ht="60" customHeight="1">
      <c r="A39" s="35" t="s">
        <v>146</v>
      </c>
      <c r="B39" s="35">
        <v>7361</v>
      </c>
      <c r="C39" s="36" t="s">
        <v>124</v>
      </c>
      <c r="D39" s="38" t="s">
        <v>147</v>
      </c>
      <c r="E39" s="76"/>
      <c r="F39" s="91"/>
      <c r="G39" s="101"/>
      <c r="H39" s="101"/>
      <c r="I39" s="101"/>
      <c r="J39" s="76">
        <f>L39+O39</f>
        <v>0</v>
      </c>
      <c r="K39" s="90">
        <f>933286-5006-928280</f>
        <v>0</v>
      </c>
      <c r="L39" s="91"/>
      <c r="M39" s="91"/>
      <c r="N39" s="91"/>
      <c r="O39" s="91">
        <f>933286-5006-928280</f>
        <v>0</v>
      </c>
      <c r="P39" s="76">
        <f t="shared" si="2"/>
        <v>0</v>
      </c>
    </row>
    <row r="40" spans="1:16" s="54" customFormat="1" ht="60" customHeight="1">
      <c r="A40" s="35" t="s">
        <v>148</v>
      </c>
      <c r="B40" s="35">
        <v>7363</v>
      </c>
      <c r="C40" s="36" t="s">
        <v>124</v>
      </c>
      <c r="D40" s="31" t="s">
        <v>149</v>
      </c>
      <c r="E40" s="76"/>
      <c r="F40" s="91"/>
      <c r="G40" s="101"/>
      <c r="H40" s="101"/>
      <c r="I40" s="101"/>
      <c r="J40" s="76">
        <f>L40+O40</f>
        <v>7339528.08</v>
      </c>
      <c r="K40" s="90">
        <v>7339528.08</v>
      </c>
      <c r="L40" s="91"/>
      <c r="M40" s="91"/>
      <c r="N40" s="91"/>
      <c r="O40" s="91">
        <v>7339528.08</v>
      </c>
      <c r="P40" s="76">
        <f t="shared" si="2"/>
        <v>7339528.08</v>
      </c>
    </row>
    <row r="41" spans="1:16" s="54" customFormat="1" ht="17.25" customHeight="1">
      <c r="A41" s="35"/>
      <c r="B41" s="35"/>
      <c r="C41" s="36"/>
      <c r="D41" s="38" t="s">
        <v>44</v>
      </c>
      <c r="E41" s="76"/>
      <c r="F41" s="91"/>
      <c r="G41" s="101"/>
      <c r="H41" s="101"/>
      <c r="I41" s="101"/>
      <c r="J41" s="76"/>
      <c r="K41" s="90"/>
      <c r="L41" s="91"/>
      <c r="M41" s="91"/>
      <c r="N41" s="91"/>
      <c r="O41" s="91"/>
      <c r="P41" s="76"/>
    </row>
    <row r="42" spans="1:16" s="54" customFormat="1" ht="96.75" customHeight="1">
      <c r="A42" s="35"/>
      <c r="B42" s="35"/>
      <c r="C42" s="36"/>
      <c r="D42" s="38" t="s">
        <v>150</v>
      </c>
      <c r="E42" s="76"/>
      <c r="F42" s="91"/>
      <c r="G42" s="101"/>
      <c r="H42" s="101"/>
      <c r="I42" s="101"/>
      <c r="J42" s="76">
        <f>L42+O42</f>
        <v>7339528.08</v>
      </c>
      <c r="K42" s="90">
        <v>7339528.08</v>
      </c>
      <c r="L42" s="91"/>
      <c r="M42" s="91"/>
      <c r="N42" s="91"/>
      <c r="O42" s="91">
        <f>K42</f>
        <v>7339528.08</v>
      </c>
      <c r="P42" s="76">
        <f t="shared" si="2"/>
        <v>7339528.08</v>
      </c>
    </row>
    <row r="43" spans="1:16" s="54" customFormat="1" ht="57" customHeight="1">
      <c r="A43" s="35" t="s">
        <v>172</v>
      </c>
      <c r="B43" s="115">
        <v>7462</v>
      </c>
      <c r="C43" s="116" t="s">
        <v>173</v>
      </c>
      <c r="D43" s="117" t="s">
        <v>174</v>
      </c>
      <c r="E43" s="76"/>
      <c r="F43" s="91"/>
      <c r="G43" s="101"/>
      <c r="H43" s="101"/>
      <c r="I43" s="101"/>
      <c r="J43" s="76">
        <f>L43+O43</f>
        <v>3332000</v>
      </c>
      <c r="K43" s="90"/>
      <c r="L43" s="91"/>
      <c r="M43" s="91"/>
      <c r="N43" s="91"/>
      <c r="O43" s="91">
        <v>3332000</v>
      </c>
      <c r="P43" s="76">
        <f t="shared" si="2"/>
        <v>3332000</v>
      </c>
    </row>
    <row r="44" spans="1:16" s="54" customFormat="1" ht="42" customHeight="1">
      <c r="A44" s="86" t="s">
        <v>175</v>
      </c>
      <c r="B44" s="116" t="s">
        <v>176</v>
      </c>
      <c r="C44" s="116" t="s">
        <v>124</v>
      </c>
      <c r="D44" s="117" t="s">
        <v>177</v>
      </c>
      <c r="E44" s="76"/>
      <c r="F44" s="91"/>
      <c r="G44" s="101"/>
      <c r="H44" s="101"/>
      <c r="I44" s="101"/>
      <c r="J44" s="76">
        <f>L44+O44</f>
        <v>7000</v>
      </c>
      <c r="K44" s="90">
        <v>7000</v>
      </c>
      <c r="L44" s="91"/>
      <c r="M44" s="91"/>
      <c r="N44" s="91"/>
      <c r="O44" s="91">
        <v>7000</v>
      </c>
      <c r="P44" s="76">
        <f t="shared" si="2"/>
        <v>7000</v>
      </c>
    </row>
    <row r="45" spans="1:16" s="54" customFormat="1" ht="34.5" customHeight="1">
      <c r="A45" s="35" t="s">
        <v>123</v>
      </c>
      <c r="B45" s="86" t="s">
        <v>125</v>
      </c>
      <c r="C45" s="86" t="s">
        <v>124</v>
      </c>
      <c r="D45" s="38" t="s">
        <v>126</v>
      </c>
      <c r="E45" s="76">
        <f>F45+I45</f>
        <v>700000</v>
      </c>
      <c r="F45" s="91">
        <v>700000</v>
      </c>
      <c r="G45" s="91"/>
      <c r="H45" s="91"/>
      <c r="I45" s="91"/>
      <c r="J45" s="76"/>
      <c r="K45" s="90"/>
      <c r="L45" s="90"/>
      <c r="M45" s="90"/>
      <c r="N45" s="90"/>
      <c r="O45" s="90"/>
      <c r="P45" s="76">
        <f t="shared" si="2"/>
        <v>700000</v>
      </c>
    </row>
    <row r="46" spans="1:16" s="54" customFormat="1" ht="34.5" customHeight="1">
      <c r="A46" s="35"/>
      <c r="B46" s="114"/>
      <c r="C46" s="114"/>
      <c r="D46" s="38"/>
      <c r="E46" s="76"/>
      <c r="F46" s="91"/>
      <c r="G46" s="91"/>
      <c r="H46" s="91"/>
      <c r="I46" s="91"/>
      <c r="J46" s="76"/>
      <c r="K46" s="90"/>
      <c r="L46" s="90"/>
      <c r="M46" s="90"/>
      <c r="N46" s="90"/>
      <c r="O46" s="90"/>
      <c r="P46" s="76"/>
    </row>
    <row r="47" spans="1:16" s="54" customFormat="1" ht="25.5">
      <c r="A47" s="35" t="s">
        <v>62</v>
      </c>
      <c r="B47" s="58">
        <v>8230</v>
      </c>
      <c r="C47" s="65" t="s">
        <v>63</v>
      </c>
      <c r="D47" s="85" t="s">
        <v>64</v>
      </c>
      <c r="E47" s="76">
        <f>F47+I47</f>
        <v>880829</v>
      </c>
      <c r="F47" s="91">
        <v>880829</v>
      </c>
      <c r="G47" s="91">
        <v>645100</v>
      </c>
      <c r="H47" s="91"/>
      <c r="I47" s="91"/>
      <c r="J47" s="76"/>
      <c r="K47" s="90"/>
      <c r="L47" s="91"/>
      <c r="M47" s="91"/>
      <c r="N47" s="91"/>
      <c r="O47" s="91"/>
      <c r="P47" s="76">
        <f t="shared" si="2"/>
        <v>880829</v>
      </c>
    </row>
    <row r="48" spans="1:16" s="54" customFormat="1" ht="12.75">
      <c r="A48" s="35"/>
      <c r="B48" s="58"/>
      <c r="C48" s="65"/>
      <c r="D48" s="84"/>
      <c r="E48" s="76"/>
      <c r="F48" s="91"/>
      <c r="G48" s="91"/>
      <c r="H48" s="91"/>
      <c r="I48" s="91"/>
      <c r="J48" s="102"/>
      <c r="K48" s="103"/>
      <c r="L48" s="91"/>
      <c r="M48" s="91"/>
      <c r="N48" s="91"/>
      <c r="O48" s="91"/>
      <c r="P48" s="76"/>
    </row>
    <row r="49" spans="1:16" s="54" customFormat="1" ht="25.5">
      <c r="A49" s="35" t="s">
        <v>71</v>
      </c>
      <c r="B49" s="58">
        <v>8340</v>
      </c>
      <c r="C49" s="65" t="s">
        <v>25</v>
      </c>
      <c r="D49" s="64" t="s">
        <v>72</v>
      </c>
      <c r="E49" s="76"/>
      <c r="F49" s="91"/>
      <c r="G49" s="91"/>
      <c r="H49" s="91"/>
      <c r="I49" s="91"/>
      <c r="J49" s="102">
        <f>L49+O49</f>
        <v>155000</v>
      </c>
      <c r="K49" s="103"/>
      <c r="L49" s="91">
        <v>155000</v>
      </c>
      <c r="M49" s="91"/>
      <c r="N49" s="91"/>
      <c r="O49" s="91"/>
      <c r="P49" s="76">
        <f t="shared" si="2"/>
        <v>155000</v>
      </c>
    </row>
    <row r="50" spans="1:16" s="54" customFormat="1" ht="12.75">
      <c r="A50" s="58" t="s">
        <v>59</v>
      </c>
      <c r="B50" s="58" t="s">
        <v>60</v>
      </c>
      <c r="C50" s="59" t="s">
        <v>22</v>
      </c>
      <c r="D50" s="60" t="s">
        <v>23</v>
      </c>
      <c r="E50" s="76">
        <v>45000</v>
      </c>
      <c r="F50" s="91">
        <v>0</v>
      </c>
      <c r="G50" s="91">
        <v>0</v>
      </c>
      <c r="H50" s="91">
        <v>0</v>
      </c>
      <c r="I50" s="91">
        <v>0</v>
      </c>
      <c r="J50" s="76">
        <v>0</v>
      </c>
      <c r="K50" s="90"/>
      <c r="L50" s="91">
        <v>0</v>
      </c>
      <c r="M50" s="91">
        <v>0</v>
      </c>
      <c r="N50" s="91">
        <v>0</v>
      </c>
      <c r="O50" s="91">
        <v>0</v>
      </c>
      <c r="P50" s="76">
        <f t="shared" si="2"/>
        <v>45000</v>
      </c>
    </row>
    <row r="51" spans="1:16" s="54" customFormat="1" ht="57.75" customHeight="1">
      <c r="A51" s="58" t="s">
        <v>61</v>
      </c>
      <c r="B51" s="58">
        <v>9410</v>
      </c>
      <c r="C51" s="36" t="s">
        <v>24</v>
      </c>
      <c r="D51" s="64" t="s">
        <v>120</v>
      </c>
      <c r="E51" s="76">
        <f>F51+I51</f>
        <v>4001200</v>
      </c>
      <c r="F51" s="91">
        <v>4001200</v>
      </c>
      <c r="G51" s="91"/>
      <c r="H51" s="91"/>
      <c r="I51" s="91"/>
      <c r="J51" s="76"/>
      <c r="K51" s="90"/>
      <c r="L51" s="91"/>
      <c r="M51" s="91"/>
      <c r="N51" s="91"/>
      <c r="O51" s="91"/>
      <c r="P51" s="76">
        <f t="shared" si="2"/>
        <v>4001200</v>
      </c>
    </row>
    <row r="52" spans="1:16" s="54" customFormat="1" ht="57.75" customHeight="1">
      <c r="A52" s="35" t="s">
        <v>151</v>
      </c>
      <c r="B52" s="35">
        <v>9420</v>
      </c>
      <c r="C52" s="36" t="s">
        <v>24</v>
      </c>
      <c r="D52" s="38" t="s">
        <v>152</v>
      </c>
      <c r="E52" s="76">
        <f>F52+I52</f>
        <v>304182.48</v>
      </c>
      <c r="F52" s="91">
        <v>304182.48</v>
      </c>
      <c r="G52" s="91"/>
      <c r="H52" s="91"/>
      <c r="I52" s="91"/>
      <c r="J52" s="76"/>
      <c r="K52" s="90"/>
      <c r="L52" s="91"/>
      <c r="M52" s="91"/>
      <c r="N52" s="91"/>
      <c r="O52" s="91"/>
      <c r="P52" s="76">
        <f t="shared" si="2"/>
        <v>304182.48</v>
      </c>
    </row>
    <row r="53" spans="1:16" s="54" customFormat="1" ht="33.75" customHeight="1">
      <c r="A53" s="35" t="s">
        <v>69</v>
      </c>
      <c r="B53" s="35">
        <v>9770</v>
      </c>
      <c r="C53" s="36" t="s">
        <v>24</v>
      </c>
      <c r="D53" s="38" t="s">
        <v>70</v>
      </c>
      <c r="E53" s="76">
        <f>F53+I53</f>
        <v>13949299</v>
      </c>
      <c r="F53" s="91">
        <f>F55+F56+F57+F58+F60+F62</f>
        <v>9989023</v>
      </c>
      <c r="G53" s="91">
        <f>G55+G56+G57+G58+G60</f>
        <v>0</v>
      </c>
      <c r="H53" s="91">
        <f>H55+H56+H57+H58+H60</f>
        <v>0</v>
      </c>
      <c r="I53" s="91">
        <f>I55+I56+I57+I58+I60+I61+I62</f>
        <v>3960276</v>
      </c>
      <c r="J53" s="76"/>
      <c r="K53" s="90"/>
      <c r="L53" s="91"/>
      <c r="M53" s="91"/>
      <c r="N53" s="91"/>
      <c r="O53" s="91"/>
      <c r="P53" s="76">
        <f t="shared" si="2"/>
        <v>13949299</v>
      </c>
    </row>
    <row r="54" spans="1:16" s="54" customFormat="1" ht="25.5" customHeight="1">
      <c r="A54" s="35"/>
      <c r="B54" s="35"/>
      <c r="C54" s="36"/>
      <c r="D54" s="38" t="s">
        <v>44</v>
      </c>
      <c r="E54" s="76"/>
      <c r="F54" s="91"/>
      <c r="G54" s="91"/>
      <c r="H54" s="91"/>
      <c r="I54" s="91"/>
      <c r="J54" s="76"/>
      <c r="K54" s="90"/>
      <c r="L54" s="91"/>
      <c r="M54" s="91"/>
      <c r="N54" s="91"/>
      <c r="O54" s="91"/>
      <c r="P54" s="76"/>
    </row>
    <row r="55" spans="1:16" s="54" customFormat="1" ht="114" customHeight="1">
      <c r="A55" s="35"/>
      <c r="B55" s="35"/>
      <c r="C55" s="36"/>
      <c r="D55" s="38" t="s">
        <v>107</v>
      </c>
      <c r="E55" s="76">
        <f aca="true" t="shared" si="3" ref="E55:E63">F55+I55</f>
        <v>5902608</v>
      </c>
      <c r="F55" s="91">
        <f>5161758+205850+20000+380000+80000+55000</f>
        <v>5902608</v>
      </c>
      <c r="G55" s="91"/>
      <c r="H55" s="91"/>
      <c r="I55" s="91"/>
      <c r="J55" s="76"/>
      <c r="K55" s="90"/>
      <c r="L55" s="91"/>
      <c r="M55" s="91"/>
      <c r="N55" s="91"/>
      <c r="O55" s="91"/>
      <c r="P55" s="76">
        <f t="shared" si="2"/>
        <v>5902608</v>
      </c>
    </row>
    <row r="56" spans="1:16" s="54" customFormat="1" ht="85.5" customHeight="1">
      <c r="A56" s="35"/>
      <c r="B56" s="35"/>
      <c r="C56" s="36"/>
      <c r="D56" s="38" t="s">
        <v>29</v>
      </c>
      <c r="E56" s="76">
        <f t="shared" si="3"/>
        <v>271800</v>
      </c>
      <c r="F56" s="91">
        <v>271800</v>
      </c>
      <c r="G56" s="91"/>
      <c r="H56" s="91"/>
      <c r="I56" s="91"/>
      <c r="J56" s="76"/>
      <c r="K56" s="90"/>
      <c r="L56" s="91"/>
      <c r="M56" s="91"/>
      <c r="N56" s="91"/>
      <c r="O56" s="91"/>
      <c r="P56" s="76">
        <f t="shared" si="2"/>
        <v>271800</v>
      </c>
    </row>
    <row r="57" spans="1:16" s="54" customFormat="1" ht="90" customHeight="1">
      <c r="A57" s="35"/>
      <c r="B57" s="35"/>
      <c r="C57" s="36"/>
      <c r="D57" s="38" t="s">
        <v>103</v>
      </c>
      <c r="E57" s="76">
        <f t="shared" si="3"/>
        <v>1857251</v>
      </c>
      <c r="F57" s="91">
        <f>1735017+122234</f>
        <v>1857251</v>
      </c>
      <c r="G57" s="91"/>
      <c r="H57" s="91"/>
      <c r="I57" s="91"/>
      <c r="J57" s="76"/>
      <c r="K57" s="90"/>
      <c r="L57" s="91"/>
      <c r="M57" s="91"/>
      <c r="N57" s="91"/>
      <c r="O57" s="91"/>
      <c r="P57" s="76">
        <f t="shared" si="2"/>
        <v>1857251</v>
      </c>
    </row>
    <row r="58" spans="1:16" s="54" customFormat="1" ht="101.25" customHeight="1">
      <c r="A58" s="35"/>
      <c r="B58" s="35"/>
      <c r="C58" s="36"/>
      <c r="D58" s="38" t="s">
        <v>119</v>
      </c>
      <c r="E58" s="76">
        <f t="shared" si="3"/>
        <v>4734500</v>
      </c>
      <c r="F58" s="91">
        <f>771500+31000+200000</f>
        <v>1002500</v>
      </c>
      <c r="G58" s="91"/>
      <c r="H58" s="91"/>
      <c r="I58" s="91">
        <f>492000+2300000+940000</f>
        <v>3732000</v>
      </c>
      <c r="J58" s="76"/>
      <c r="K58" s="90"/>
      <c r="L58" s="91"/>
      <c r="M58" s="91"/>
      <c r="N58" s="91"/>
      <c r="O58" s="91"/>
      <c r="P58" s="76">
        <f t="shared" si="2"/>
        <v>4734500</v>
      </c>
    </row>
    <row r="59" spans="1:16" s="54" customFormat="1" ht="6.75" customHeight="1" hidden="1">
      <c r="A59" s="35"/>
      <c r="B59" s="35"/>
      <c r="C59" s="36"/>
      <c r="D59" s="38"/>
      <c r="E59" s="76">
        <f t="shared" si="3"/>
        <v>0</v>
      </c>
      <c r="F59" s="101"/>
      <c r="G59" s="101"/>
      <c r="H59" s="101"/>
      <c r="I59" s="101"/>
      <c r="J59" s="104"/>
      <c r="K59" s="105"/>
      <c r="L59" s="101"/>
      <c r="M59" s="101"/>
      <c r="N59" s="101"/>
      <c r="O59" s="101"/>
      <c r="P59" s="76">
        <f t="shared" si="2"/>
        <v>0</v>
      </c>
    </row>
    <row r="60" spans="1:16" s="54" customFormat="1" ht="114" customHeight="1">
      <c r="A60" s="35"/>
      <c r="B60" s="35"/>
      <c r="C60" s="36"/>
      <c r="D60" s="38" t="s">
        <v>113</v>
      </c>
      <c r="E60" s="76">
        <f t="shared" si="3"/>
        <v>954864</v>
      </c>
      <c r="F60" s="91">
        <f>854864+100000</f>
        <v>954864</v>
      </c>
      <c r="G60" s="91"/>
      <c r="H60" s="91"/>
      <c r="I60" s="91"/>
      <c r="J60" s="104"/>
      <c r="K60" s="105"/>
      <c r="L60" s="101"/>
      <c r="M60" s="101"/>
      <c r="N60" s="101"/>
      <c r="O60" s="101"/>
      <c r="P60" s="76">
        <f t="shared" si="2"/>
        <v>954864</v>
      </c>
    </row>
    <row r="61" spans="1:16" s="54" customFormat="1" ht="74.25" customHeight="1">
      <c r="A61" s="35"/>
      <c r="B61" s="35"/>
      <c r="C61" s="36"/>
      <c r="D61" s="38" t="s">
        <v>165</v>
      </c>
      <c r="E61" s="76">
        <f t="shared" si="3"/>
        <v>28276</v>
      </c>
      <c r="F61" s="91"/>
      <c r="G61" s="91"/>
      <c r="H61" s="91"/>
      <c r="I61" s="91">
        <f>28276</f>
        <v>28276</v>
      </c>
      <c r="J61" s="104"/>
      <c r="K61" s="105"/>
      <c r="L61" s="101"/>
      <c r="M61" s="101"/>
      <c r="N61" s="101"/>
      <c r="O61" s="101"/>
      <c r="P61" s="76">
        <f t="shared" si="2"/>
        <v>28276</v>
      </c>
    </row>
    <row r="62" spans="1:16" s="54" customFormat="1" ht="66.75" customHeight="1">
      <c r="A62" s="35"/>
      <c r="B62" s="35"/>
      <c r="C62" s="36"/>
      <c r="D62" s="38" t="s">
        <v>161</v>
      </c>
      <c r="E62" s="76">
        <f t="shared" si="3"/>
        <v>200000</v>
      </c>
      <c r="F62" s="91"/>
      <c r="G62" s="91"/>
      <c r="H62" s="91"/>
      <c r="I62" s="91">
        <f>200000</f>
        <v>200000</v>
      </c>
      <c r="J62" s="104"/>
      <c r="K62" s="105"/>
      <c r="L62" s="101"/>
      <c r="M62" s="101"/>
      <c r="N62" s="101"/>
      <c r="O62" s="101"/>
      <c r="P62" s="76">
        <f t="shared" si="2"/>
        <v>200000</v>
      </c>
    </row>
    <row r="63" spans="1:16" s="54" customFormat="1" ht="92.25" customHeight="1">
      <c r="A63" s="35" t="s">
        <v>153</v>
      </c>
      <c r="B63" s="35">
        <v>9800</v>
      </c>
      <c r="C63" s="36" t="s">
        <v>24</v>
      </c>
      <c r="D63" s="38" t="s">
        <v>154</v>
      </c>
      <c r="E63" s="76">
        <f t="shared" si="3"/>
        <v>40000</v>
      </c>
      <c r="F63" s="91"/>
      <c r="G63" s="91"/>
      <c r="H63" s="91"/>
      <c r="I63" s="91">
        <v>40000</v>
      </c>
      <c r="J63" s="104"/>
      <c r="K63" s="105"/>
      <c r="L63" s="101"/>
      <c r="M63" s="101"/>
      <c r="N63" s="101"/>
      <c r="O63" s="101"/>
      <c r="P63" s="76">
        <f t="shared" si="2"/>
        <v>40000</v>
      </c>
    </row>
    <row r="64" spans="1:16" s="54" customFormat="1" ht="12.75">
      <c r="A64" s="41"/>
      <c r="B64" s="42" t="s">
        <v>26</v>
      </c>
      <c r="C64" s="43"/>
      <c r="D64" s="37" t="s">
        <v>37</v>
      </c>
      <c r="E64" s="76">
        <f>F64+I64+E50</f>
        <v>59560358.48</v>
      </c>
      <c r="F64" s="76">
        <f>F17+F22+F31+F32+F33+F34+F47+F49+F50+F51+F53+F45+F63+F52+F40+F39+F38+F36+F35+F21+F37+F18</f>
        <v>55515082.48</v>
      </c>
      <c r="G64" s="76">
        <f>G17+G22+G31+G32+G33+G34+G47+G49+G50+G51+G53+G45+G63+G52+G40+G39+G38+G36+G35+G21+G37+G18</f>
        <v>19843355</v>
      </c>
      <c r="H64" s="76">
        <f>H17+H22+H31+H32+H33+H34+H47+H49+H50+H51+H53+H45+H63+H52+H40+H39+H38+H36+H35+H21+H37+H18</f>
        <v>1778633</v>
      </c>
      <c r="I64" s="76">
        <f>I17+I22+I31+I32+I33+I34+I47+I49+I50+I51+I53+I45+I63+I52+I40+I39+I38+I36+I35+I21+I37+I18</f>
        <v>4000276</v>
      </c>
      <c r="J64" s="76">
        <f>L64+O64</f>
        <v>11906776.08</v>
      </c>
      <c r="K64" s="76">
        <f>K17+K22+K31+K32+K33+K34+K47+K49+K50+K51+K53+K45+K63+K52+K40+K39+K38+K36+K35+K21+K37+K44+K43</f>
        <v>8414737.08</v>
      </c>
      <c r="L64" s="76">
        <f>L17+L22+L31+L32+L33+L34+L47+L49+L50+L51+L53+L45+L63+L52+L40+L39+L38+L36+L35+L21+L37+L44+L43</f>
        <v>160039</v>
      </c>
      <c r="M64" s="76">
        <f>M17+M22+M31+M32+M33+M34+M47+M49+M50+M51+M53+M45+M63+M52+M40+M39+M38+M36+M35+M21+M37+M44+M43</f>
        <v>0</v>
      </c>
      <c r="N64" s="76">
        <f>N17+N22+N31+N32+N33+N34+N47+N49+N50+N51+N53+N45+N63+N52+N40+N39+N38+N36+N35+N21+N37+N44+N43</f>
        <v>0</v>
      </c>
      <c r="O64" s="76">
        <f>O17+O22+O31+O32+O33+O34+O47+O49+O50+O51+O53+O45+O63+O52+O40+O39+O38+O36+O35+O21+O37+O44+O43</f>
        <v>11746737.08</v>
      </c>
      <c r="P64" s="76">
        <f>E64+J64</f>
        <v>71467134.56</v>
      </c>
    </row>
    <row r="65" spans="1:16" ht="39.75" customHeight="1">
      <c r="A65" s="14" t="s">
        <v>73</v>
      </c>
      <c r="B65" s="14"/>
      <c r="C65" s="15"/>
      <c r="D65" s="16" t="s">
        <v>35</v>
      </c>
      <c r="E65" s="52"/>
      <c r="F65" s="52"/>
      <c r="G65" s="52"/>
      <c r="H65" s="52"/>
      <c r="I65" s="52"/>
      <c r="J65" s="52"/>
      <c r="K65" s="71"/>
      <c r="L65" s="52"/>
      <c r="M65" s="52"/>
      <c r="N65" s="52"/>
      <c r="O65" s="52"/>
      <c r="P65" s="53"/>
    </row>
    <row r="66" spans="1:16" ht="38.25">
      <c r="A66" s="14" t="s">
        <v>74</v>
      </c>
      <c r="B66" s="14"/>
      <c r="C66" s="15"/>
      <c r="D66" s="16" t="s">
        <v>35</v>
      </c>
      <c r="E66" s="52"/>
      <c r="F66" s="52"/>
      <c r="G66" s="52"/>
      <c r="H66" s="52"/>
      <c r="I66" s="52"/>
      <c r="J66" s="52"/>
      <c r="K66" s="71"/>
      <c r="L66" s="52"/>
      <c r="M66" s="52"/>
      <c r="N66" s="52"/>
      <c r="O66" s="52"/>
      <c r="P66" s="53"/>
    </row>
    <row r="67" spans="1:16" s="54" customFormat="1" ht="67.5" customHeight="1">
      <c r="A67" s="14" t="s">
        <v>75</v>
      </c>
      <c r="B67" s="24" t="s">
        <v>49</v>
      </c>
      <c r="C67" s="15" t="s">
        <v>12</v>
      </c>
      <c r="D67" s="50" t="s">
        <v>76</v>
      </c>
      <c r="E67" s="99">
        <f>F67+I67</f>
        <v>969478</v>
      </c>
      <c r="F67" s="99">
        <v>969478</v>
      </c>
      <c r="G67" s="99">
        <v>779592</v>
      </c>
      <c r="H67" s="99">
        <v>0</v>
      </c>
      <c r="I67" s="99"/>
      <c r="J67" s="99">
        <f>L67+O67</f>
        <v>0</v>
      </c>
      <c r="K67" s="106"/>
      <c r="L67" s="99"/>
      <c r="M67" s="99"/>
      <c r="N67" s="99"/>
      <c r="O67" s="99"/>
      <c r="P67" s="99">
        <f aca="true" t="shared" si="4" ref="P67:P91">J67+E67</f>
        <v>969478</v>
      </c>
    </row>
    <row r="68" spans="1:16" s="54" customFormat="1" ht="19.5" customHeight="1">
      <c r="A68" s="14" t="s">
        <v>77</v>
      </c>
      <c r="B68" s="24"/>
      <c r="C68" s="17"/>
      <c r="D68" s="18" t="s">
        <v>31</v>
      </c>
      <c r="E68" s="99">
        <f>F68+I68</f>
        <v>107755103.17</v>
      </c>
      <c r="F68" s="99">
        <f>F69+F73+F82+F83+F84+F85+F87+F88</f>
        <v>107755103.17</v>
      </c>
      <c r="G68" s="99">
        <f>G69+G73+G82+G83+G84+G85+G87+G88</f>
        <v>75194002</v>
      </c>
      <c r="H68" s="99">
        <f>H69+H73+H82+H83+H84+H85+H87+H88</f>
        <v>7606401</v>
      </c>
      <c r="I68" s="99">
        <f>I69+I73+I82+I83+I84+I85+I87+I88</f>
        <v>0</v>
      </c>
      <c r="J68" s="99">
        <f>L68+O68</f>
        <v>4311660</v>
      </c>
      <c r="K68" s="99">
        <f>K69+K73+K82+K83+K84+K85+K87+K88</f>
        <v>1508886</v>
      </c>
      <c r="L68" s="99">
        <f>L69+L73+L82+L83+L84+L85+L87+L88</f>
        <v>2802774</v>
      </c>
      <c r="M68" s="99">
        <f>M69+M73+M82+M83+M84+M85+M87+M88</f>
        <v>0</v>
      </c>
      <c r="N68" s="99">
        <f>N69+N73+N82+N83+N84+N85+N87+N88</f>
        <v>0</v>
      </c>
      <c r="O68" s="99">
        <f>O69+O73+O82+O83+O84+O85+O87+O88</f>
        <v>1508886</v>
      </c>
      <c r="P68" s="99">
        <f t="shared" si="4"/>
        <v>112066763.17</v>
      </c>
    </row>
    <row r="69" spans="1:16" s="54" customFormat="1" ht="24.75" customHeight="1">
      <c r="A69" s="14" t="s">
        <v>78</v>
      </c>
      <c r="B69" s="24" t="s">
        <v>14</v>
      </c>
      <c r="C69" s="17" t="s">
        <v>13</v>
      </c>
      <c r="D69" s="19" t="s">
        <v>79</v>
      </c>
      <c r="E69" s="99">
        <f>F69+I69</f>
        <v>22081556.17</v>
      </c>
      <c r="F69" s="99">
        <f>22641356+36400+148995-60000-149410-90737.83+50000-140280-137320-278447+48000+28000-15000</f>
        <v>22081556.17</v>
      </c>
      <c r="G69" s="99">
        <f>15023210+7592-278447</f>
        <v>14752355</v>
      </c>
      <c r="H69" s="99">
        <v>1965947</v>
      </c>
      <c r="I69" s="99"/>
      <c r="J69" s="99">
        <f>L69+O69</f>
        <v>1431900</v>
      </c>
      <c r="K69" s="106">
        <f>20000+25000-25000+43900+20000+48000</f>
        <v>131900</v>
      </c>
      <c r="L69" s="99">
        <v>1300000</v>
      </c>
      <c r="M69" s="99"/>
      <c r="N69" s="99"/>
      <c r="O69" s="99">
        <f>20000+25000-25000+43900+20000+48000</f>
        <v>131900</v>
      </c>
      <c r="P69" s="99">
        <f>J69+E69</f>
        <v>23513456.17</v>
      </c>
    </row>
    <row r="70" spans="1:16" s="54" customFormat="1" ht="24.75" customHeight="1">
      <c r="A70" s="14"/>
      <c r="B70" s="24"/>
      <c r="C70" s="17"/>
      <c r="D70" s="19" t="s">
        <v>44</v>
      </c>
      <c r="E70" s="99"/>
      <c r="F70" s="99"/>
      <c r="G70" s="99"/>
      <c r="H70" s="99"/>
      <c r="I70" s="99"/>
      <c r="J70" s="99"/>
      <c r="K70" s="106"/>
      <c r="L70" s="99"/>
      <c r="M70" s="99"/>
      <c r="N70" s="99"/>
      <c r="O70" s="99"/>
      <c r="P70" s="99"/>
    </row>
    <row r="71" spans="1:16" s="54" customFormat="1" ht="75.75" customHeight="1">
      <c r="A71" s="14"/>
      <c r="B71" s="24"/>
      <c r="C71" s="17"/>
      <c r="D71" s="19" t="s">
        <v>108</v>
      </c>
      <c r="E71" s="99">
        <f>F71+I71</f>
        <v>44339</v>
      </c>
      <c r="F71" s="99">
        <v>44339</v>
      </c>
      <c r="G71" s="99">
        <v>17940</v>
      </c>
      <c r="H71" s="99"/>
      <c r="I71" s="99"/>
      <c r="J71" s="99"/>
      <c r="K71" s="106"/>
      <c r="L71" s="99"/>
      <c r="M71" s="99"/>
      <c r="N71" s="99"/>
      <c r="O71" s="99"/>
      <c r="P71" s="99">
        <f>J71+E71</f>
        <v>44339</v>
      </c>
    </row>
    <row r="72" spans="1:16" s="54" customFormat="1" ht="57" customHeight="1">
      <c r="A72" s="14"/>
      <c r="B72" s="24"/>
      <c r="C72" s="17"/>
      <c r="D72" s="19" t="s">
        <v>162</v>
      </c>
      <c r="E72" s="99">
        <f>F72</f>
        <v>9262.17</v>
      </c>
      <c r="F72" s="99">
        <f>9262.17</f>
        <v>9262.17</v>
      </c>
      <c r="G72" s="99">
        <f>7592</f>
        <v>7592</v>
      </c>
      <c r="H72" s="99"/>
      <c r="I72" s="99"/>
      <c r="J72" s="99"/>
      <c r="K72" s="106"/>
      <c r="L72" s="99"/>
      <c r="M72" s="99"/>
      <c r="N72" s="99"/>
      <c r="O72" s="99"/>
      <c r="P72" s="99">
        <f>J72+E72</f>
        <v>9262.17</v>
      </c>
    </row>
    <row r="73" spans="1:16" s="54" customFormat="1" ht="63" customHeight="1">
      <c r="A73" s="14" t="s">
        <v>80</v>
      </c>
      <c r="B73" s="24" t="s">
        <v>42</v>
      </c>
      <c r="C73" s="17" t="s">
        <v>43</v>
      </c>
      <c r="D73" s="19" t="s">
        <v>127</v>
      </c>
      <c r="E73" s="81">
        <f>F73+I73</f>
        <v>75009487</v>
      </c>
      <c r="F73" s="81">
        <f>69839250+815649+2171200+293673+314064+149410-78899-82172+20937+188429+340000+140280+137320-275915+9738+48000+978523</f>
        <v>75009487</v>
      </c>
      <c r="G73" s="81">
        <f>51059005+180000+1805800+10844-275915+806000</f>
        <v>53585734</v>
      </c>
      <c r="H73" s="81">
        <f>5325230-129412</f>
        <v>5195818</v>
      </c>
      <c r="I73" s="81"/>
      <c r="J73" s="99">
        <f>L73+O73</f>
        <v>2853760</v>
      </c>
      <c r="K73" s="106">
        <f>284000+1050000-314064+296629+32959-103900+57362+48000</f>
        <v>1350986</v>
      </c>
      <c r="L73" s="99">
        <f>1500000+2774</f>
        <v>1502774</v>
      </c>
      <c r="M73" s="99"/>
      <c r="N73" s="99"/>
      <c r="O73" s="99">
        <f>284000+1050000-314064+296629+32959-103900+57362+48000</f>
        <v>1350986</v>
      </c>
      <c r="P73" s="99">
        <f>J73+E73</f>
        <v>77863247</v>
      </c>
    </row>
    <row r="74" spans="1:16" s="54" customFormat="1" ht="15" customHeight="1">
      <c r="A74" s="14"/>
      <c r="B74" s="24"/>
      <c r="C74" s="17"/>
      <c r="D74" s="19" t="s">
        <v>44</v>
      </c>
      <c r="E74" s="81"/>
      <c r="F74" s="107"/>
      <c r="G74" s="107"/>
      <c r="H74" s="107"/>
      <c r="I74" s="107"/>
      <c r="J74" s="108"/>
      <c r="K74" s="109"/>
      <c r="L74" s="108"/>
      <c r="M74" s="108"/>
      <c r="N74" s="108"/>
      <c r="O74" s="108"/>
      <c r="P74" s="108"/>
    </row>
    <row r="75" spans="1:16" s="54" customFormat="1" ht="33" customHeight="1">
      <c r="A75" s="14"/>
      <c r="B75" s="24"/>
      <c r="C75" s="17"/>
      <c r="D75" s="19" t="s">
        <v>45</v>
      </c>
      <c r="E75" s="81">
        <f aca="true" t="shared" si="5" ref="E75:E81">F75+I75</f>
        <v>51606000</v>
      </c>
      <c r="F75" s="81">
        <f>48401300+2221200+983500</f>
        <v>51606000</v>
      </c>
      <c r="G75" s="81">
        <f>39673200+1805800+806000</f>
        <v>42285000</v>
      </c>
      <c r="H75" s="81"/>
      <c r="I75" s="81"/>
      <c r="J75" s="99"/>
      <c r="K75" s="106"/>
      <c r="L75" s="99"/>
      <c r="M75" s="99"/>
      <c r="N75" s="99"/>
      <c r="O75" s="99"/>
      <c r="P75" s="99">
        <f t="shared" si="4"/>
        <v>51606000</v>
      </c>
    </row>
    <row r="76" spans="1:16" s="54" customFormat="1" ht="72.75" customHeight="1">
      <c r="A76" s="14"/>
      <c r="B76" s="24"/>
      <c r="C76" s="17"/>
      <c r="D76" s="19" t="s">
        <v>108</v>
      </c>
      <c r="E76" s="81">
        <f t="shared" si="5"/>
        <v>64654</v>
      </c>
      <c r="F76" s="81">
        <v>64654</v>
      </c>
      <c r="G76" s="81">
        <v>34500</v>
      </c>
      <c r="H76" s="81"/>
      <c r="I76" s="81"/>
      <c r="J76" s="99"/>
      <c r="K76" s="106"/>
      <c r="L76" s="99"/>
      <c r="M76" s="99"/>
      <c r="N76" s="99"/>
      <c r="O76" s="99"/>
      <c r="P76" s="99">
        <f t="shared" si="4"/>
        <v>64654</v>
      </c>
    </row>
    <row r="77" spans="1:16" s="54" customFormat="1" ht="71.25" customHeight="1">
      <c r="A77" s="14"/>
      <c r="B77" s="24"/>
      <c r="C77" s="17"/>
      <c r="D77" s="19" t="s">
        <v>48</v>
      </c>
      <c r="E77" s="81">
        <f t="shared" si="5"/>
        <v>4119800</v>
      </c>
      <c r="F77" s="81">
        <v>4119800</v>
      </c>
      <c r="G77" s="81">
        <v>3371400</v>
      </c>
      <c r="H77" s="81"/>
      <c r="I77" s="81"/>
      <c r="J77" s="99"/>
      <c r="K77" s="106"/>
      <c r="L77" s="99"/>
      <c r="M77" s="99"/>
      <c r="N77" s="99"/>
      <c r="O77" s="99"/>
      <c r="P77" s="99">
        <f t="shared" si="4"/>
        <v>4119800</v>
      </c>
    </row>
    <row r="78" spans="1:16" s="54" customFormat="1" ht="49.5" customHeight="1">
      <c r="A78" s="14"/>
      <c r="B78" s="24"/>
      <c r="C78" s="17"/>
      <c r="D78" s="19" t="s">
        <v>155</v>
      </c>
      <c r="E78" s="81">
        <f t="shared" si="5"/>
        <v>1110472</v>
      </c>
      <c r="F78" s="81">
        <f>775449+340000-4977</f>
        <v>1110472</v>
      </c>
      <c r="G78" s="81">
        <v>180000</v>
      </c>
      <c r="H78" s="81"/>
      <c r="I78" s="81"/>
      <c r="J78" s="99"/>
      <c r="K78" s="106"/>
      <c r="L78" s="99"/>
      <c r="M78" s="99"/>
      <c r="N78" s="99"/>
      <c r="O78" s="99"/>
      <c r="P78" s="99">
        <f t="shared" si="4"/>
        <v>1110472</v>
      </c>
    </row>
    <row r="79" spans="1:16" s="54" customFormat="1" ht="58.5" customHeight="1">
      <c r="A79" s="14"/>
      <c r="B79" s="24"/>
      <c r="C79" s="17"/>
      <c r="D79" s="19" t="s">
        <v>160</v>
      </c>
      <c r="E79" s="81">
        <f t="shared" si="5"/>
        <v>607737</v>
      </c>
      <c r="F79" s="81">
        <f>293673+314064</f>
        <v>607737</v>
      </c>
      <c r="G79" s="81"/>
      <c r="H79" s="81"/>
      <c r="I79" s="81"/>
      <c r="J79" s="99">
        <f>L79+O79</f>
        <v>735936</v>
      </c>
      <c r="K79" s="106">
        <f>1050000-314064</f>
        <v>735936</v>
      </c>
      <c r="L79" s="99"/>
      <c r="M79" s="99"/>
      <c r="N79" s="99"/>
      <c r="O79" s="99">
        <f>1050000-314064</f>
        <v>735936</v>
      </c>
      <c r="P79" s="99">
        <f t="shared" si="4"/>
        <v>1343673</v>
      </c>
    </row>
    <row r="80" spans="1:16" s="54" customFormat="1" ht="65.25" customHeight="1">
      <c r="A80" s="14"/>
      <c r="B80" s="24"/>
      <c r="C80" s="17"/>
      <c r="D80" s="19" t="s">
        <v>162</v>
      </c>
      <c r="E80" s="81">
        <f t="shared" si="5"/>
        <v>21101</v>
      </c>
      <c r="F80" s="81">
        <v>21101</v>
      </c>
      <c r="G80" s="81">
        <v>10844</v>
      </c>
      <c r="H80" s="81"/>
      <c r="I80" s="81"/>
      <c r="J80" s="99"/>
      <c r="K80" s="106"/>
      <c r="L80" s="99"/>
      <c r="M80" s="99"/>
      <c r="N80" s="99"/>
      <c r="O80" s="99"/>
      <c r="P80" s="99">
        <f t="shared" si="4"/>
        <v>21101</v>
      </c>
    </row>
    <row r="81" spans="1:16" s="54" customFormat="1" ht="81.75" customHeight="1">
      <c r="A81" s="14"/>
      <c r="B81" s="24"/>
      <c r="C81" s="17"/>
      <c r="D81" s="19" t="s">
        <v>166</v>
      </c>
      <c r="E81" s="81">
        <f t="shared" si="5"/>
        <v>188429</v>
      </c>
      <c r="F81" s="81">
        <v>188429</v>
      </c>
      <c r="G81" s="81"/>
      <c r="H81" s="81"/>
      <c r="I81" s="81"/>
      <c r="J81" s="99">
        <f>L81+O81</f>
        <v>296629</v>
      </c>
      <c r="K81" s="106">
        <v>296629</v>
      </c>
      <c r="L81" s="99"/>
      <c r="M81" s="99"/>
      <c r="N81" s="99"/>
      <c r="O81" s="99">
        <v>296629</v>
      </c>
      <c r="P81" s="99">
        <f t="shared" si="4"/>
        <v>485058</v>
      </c>
    </row>
    <row r="82" spans="1:16" s="54" customFormat="1" ht="50.25" customHeight="1">
      <c r="A82" s="14" t="s">
        <v>81</v>
      </c>
      <c r="B82" s="24" t="s">
        <v>17</v>
      </c>
      <c r="C82" s="17" t="s">
        <v>46</v>
      </c>
      <c r="D82" s="19" t="s">
        <v>128</v>
      </c>
      <c r="E82" s="81">
        <f aca="true" t="shared" si="6" ref="E82:E93">F82+I82</f>
        <v>3665406</v>
      </c>
      <c r="F82" s="81">
        <f>3615628+49778</f>
        <v>3665406</v>
      </c>
      <c r="G82" s="81">
        <v>2561400</v>
      </c>
      <c r="H82" s="81">
        <v>257928</v>
      </c>
      <c r="I82" s="81"/>
      <c r="J82" s="99">
        <f>L82+O82</f>
        <v>0</v>
      </c>
      <c r="K82" s="106"/>
      <c r="L82" s="99"/>
      <c r="M82" s="99"/>
      <c r="N82" s="99"/>
      <c r="O82" s="99"/>
      <c r="P82" s="99">
        <f t="shared" si="4"/>
        <v>3665406</v>
      </c>
    </row>
    <row r="83" spans="1:16" s="54" customFormat="1" ht="29.25" customHeight="1">
      <c r="A83" s="14" t="s">
        <v>82</v>
      </c>
      <c r="B83" s="24" t="s">
        <v>83</v>
      </c>
      <c r="C83" s="17" t="s">
        <v>15</v>
      </c>
      <c r="D83" s="19" t="s">
        <v>129</v>
      </c>
      <c r="E83" s="81">
        <f t="shared" si="6"/>
        <v>805000</v>
      </c>
      <c r="F83" s="81">
        <f>826400-36400+15000</f>
        <v>805000</v>
      </c>
      <c r="G83" s="81">
        <v>674900</v>
      </c>
      <c r="H83" s="81"/>
      <c r="I83" s="81"/>
      <c r="J83" s="99"/>
      <c r="K83" s="106"/>
      <c r="L83" s="99"/>
      <c r="M83" s="99"/>
      <c r="N83" s="99"/>
      <c r="O83" s="99"/>
      <c r="P83" s="99">
        <f t="shared" si="4"/>
        <v>805000</v>
      </c>
    </row>
    <row r="84" spans="1:16" s="54" customFormat="1" ht="12.75">
      <c r="A84" s="14"/>
      <c r="B84" s="24"/>
      <c r="C84" s="17"/>
      <c r="D84" s="19"/>
      <c r="E84" s="99"/>
      <c r="F84" s="99"/>
      <c r="G84" s="99"/>
      <c r="H84" s="99"/>
      <c r="I84" s="99"/>
      <c r="J84" s="99"/>
      <c r="K84" s="99"/>
      <c r="L84" s="99"/>
      <c r="M84" s="99"/>
      <c r="N84" s="99"/>
      <c r="O84" s="99"/>
      <c r="P84" s="99"/>
    </row>
    <row r="85" spans="1:16" s="54" customFormat="1" ht="25.5">
      <c r="A85" s="14" t="s">
        <v>93</v>
      </c>
      <c r="B85" s="24" t="s">
        <v>94</v>
      </c>
      <c r="C85" s="17" t="s">
        <v>15</v>
      </c>
      <c r="D85" s="19" t="s">
        <v>95</v>
      </c>
      <c r="E85" s="99">
        <f t="shared" si="6"/>
        <v>3165508</v>
      </c>
      <c r="F85" s="99">
        <v>3165508</v>
      </c>
      <c r="G85" s="99">
        <v>2476200</v>
      </c>
      <c r="H85" s="99">
        <v>64108</v>
      </c>
      <c r="I85" s="99"/>
      <c r="J85" s="99">
        <f>L85+O85</f>
        <v>26000</v>
      </c>
      <c r="K85" s="106">
        <v>26000</v>
      </c>
      <c r="L85" s="99"/>
      <c r="M85" s="99"/>
      <c r="N85" s="99"/>
      <c r="O85" s="99">
        <v>26000</v>
      </c>
      <c r="P85" s="99">
        <f t="shared" si="4"/>
        <v>3191508</v>
      </c>
    </row>
    <row r="86" spans="1:16" s="54" customFormat="1" ht="12.75">
      <c r="A86" s="14"/>
      <c r="B86" s="24"/>
      <c r="C86" s="17"/>
      <c r="D86" s="19"/>
      <c r="E86" s="99"/>
      <c r="F86" s="99"/>
      <c r="G86" s="99"/>
      <c r="H86" s="99"/>
      <c r="I86" s="99"/>
      <c r="J86" s="99"/>
      <c r="K86" s="106"/>
      <c r="L86" s="99"/>
      <c r="M86" s="99"/>
      <c r="N86" s="99"/>
      <c r="O86" s="99"/>
      <c r="P86" s="99"/>
    </row>
    <row r="87" spans="1:16" s="54" customFormat="1" ht="12.75">
      <c r="A87" s="14" t="s">
        <v>96</v>
      </c>
      <c r="B87" s="24" t="s">
        <v>97</v>
      </c>
      <c r="C87" s="17" t="s">
        <v>15</v>
      </c>
      <c r="D87" s="19" t="s">
        <v>98</v>
      </c>
      <c r="E87" s="99">
        <f t="shared" si="6"/>
        <v>1363482</v>
      </c>
      <c r="F87" s="99">
        <f>1591260+22000-20000-229778</f>
        <v>1363482</v>
      </c>
      <c r="G87" s="99"/>
      <c r="H87" s="99"/>
      <c r="I87" s="99"/>
      <c r="J87" s="99"/>
      <c r="K87" s="106"/>
      <c r="L87" s="99"/>
      <c r="M87" s="99"/>
      <c r="N87" s="99"/>
      <c r="O87" s="99"/>
      <c r="P87" s="99">
        <f t="shared" si="4"/>
        <v>1363482</v>
      </c>
    </row>
    <row r="88" spans="1:16" s="54" customFormat="1" ht="35.25" customHeight="1">
      <c r="A88" s="14" t="s">
        <v>121</v>
      </c>
      <c r="B88" s="27">
        <v>1170</v>
      </c>
      <c r="C88" s="17" t="s">
        <v>15</v>
      </c>
      <c r="D88" s="40" t="s">
        <v>122</v>
      </c>
      <c r="E88" s="99">
        <f t="shared" si="6"/>
        <v>1664664</v>
      </c>
      <c r="F88" s="99">
        <v>1664664</v>
      </c>
      <c r="G88" s="99">
        <v>1143413</v>
      </c>
      <c r="H88" s="99">
        <v>122600</v>
      </c>
      <c r="I88" s="99"/>
      <c r="J88" s="99">
        <f>L88+O88</f>
        <v>0</v>
      </c>
      <c r="K88" s="99"/>
      <c r="L88" s="99"/>
      <c r="M88" s="99"/>
      <c r="N88" s="99"/>
      <c r="O88" s="99"/>
      <c r="P88" s="99">
        <f t="shared" si="4"/>
        <v>1664664</v>
      </c>
    </row>
    <row r="89" spans="1:16" s="54" customFormat="1" ht="18.75" customHeight="1">
      <c r="A89" s="44"/>
      <c r="B89" s="27"/>
      <c r="C89" s="51"/>
      <c r="D89" s="19" t="s">
        <v>44</v>
      </c>
      <c r="E89" s="99"/>
      <c r="F89" s="99"/>
      <c r="G89" s="99"/>
      <c r="H89" s="99"/>
      <c r="I89" s="99"/>
      <c r="J89" s="99"/>
      <c r="K89" s="99"/>
      <c r="L89" s="99"/>
      <c r="M89" s="99"/>
      <c r="N89" s="99"/>
      <c r="O89" s="99"/>
      <c r="P89" s="99"/>
    </row>
    <row r="90" spans="1:16" s="54" customFormat="1" ht="67.5" customHeight="1">
      <c r="A90" s="44"/>
      <c r="B90" s="27"/>
      <c r="C90" s="51"/>
      <c r="D90" s="19" t="s">
        <v>109</v>
      </c>
      <c r="E90" s="99">
        <f t="shared" si="6"/>
        <v>1236371</v>
      </c>
      <c r="F90" s="81">
        <v>1236371</v>
      </c>
      <c r="G90" s="81">
        <v>1013420</v>
      </c>
      <c r="H90" s="81"/>
      <c r="I90" s="81"/>
      <c r="J90" s="99"/>
      <c r="K90" s="99"/>
      <c r="L90" s="99"/>
      <c r="M90" s="99"/>
      <c r="N90" s="99"/>
      <c r="O90" s="99"/>
      <c r="P90" s="99">
        <f t="shared" si="4"/>
        <v>1236371</v>
      </c>
    </row>
    <row r="91" spans="1:16" s="54" customFormat="1" ht="38.25">
      <c r="A91" s="44" t="s">
        <v>84</v>
      </c>
      <c r="B91" s="27">
        <v>5031</v>
      </c>
      <c r="C91" s="28" t="s">
        <v>20</v>
      </c>
      <c r="D91" s="31" t="s">
        <v>47</v>
      </c>
      <c r="E91" s="81">
        <f t="shared" si="6"/>
        <v>2668975</v>
      </c>
      <c r="F91" s="81">
        <f>2617475+51500</f>
        <v>2668975</v>
      </c>
      <c r="G91" s="81">
        <v>1962300</v>
      </c>
      <c r="H91" s="81">
        <v>170775</v>
      </c>
      <c r="I91" s="99"/>
      <c r="J91" s="99">
        <f aca="true" t="shared" si="7" ref="J91:J101">L91+O91</f>
        <v>28826</v>
      </c>
      <c r="K91" s="106">
        <v>26000</v>
      </c>
      <c r="L91" s="99">
        <v>2826</v>
      </c>
      <c r="M91" s="99"/>
      <c r="N91" s="99"/>
      <c r="O91" s="99">
        <v>26000</v>
      </c>
      <c r="P91" s="99">
        <f t="shared" si="4"/>
        <v>2697801</v>
      </c>
    </row>
    <row r="92" spans="1:16" s="54" customFormat="1" ht="9" customHeight="1">
      <c r="A92" s="44"/>
      <c r="B92" s="27"/>
      <c r="C92" s="51"/>
      <c r="D92" s="31"/>
      <c r="E92" s="99"/>
      <c r="F92" s="99"/>
      <c r="G92" s="99"/>
      <c r="H92" s="99"/>
      <c r="I92" s="99"/>
      <c r="J92" s="99"/>
      <c r="K92" s="106"/>
      <c r="L92" s="99"/>
      <c r="M92" s="99"/>
      <c r="N92" s="99"/>
      <c r="O92" s="99"/>
      <c r="P92" s="99"/>
    </row>
    <row r="93" spans="1:16" s="54" customFormat="1" ht="72" customHeight="1">
      <c r="A93" s="44" t="s">
        <v>85</v>
      </c>
      <c r="B93" s="27">
        <v>5061</v>
      </c>
      <c r="C93" s="28" t="s">
        <v>20</v>
      </c>
      <c r="D93" s="31" t="s">
        <v>27</v>
      </c>
      <c r="E93" s="99">
        <f t="shared" si="6"/>
        <v>224000</v>
      </c>
      <c r="F93" s="99">
        <f>250000-26000</f>
        <v>224000</v>
      </c>
      <c r="G93" s="99"/>
      <c r="H93" s="99"/>
      <c r="I93" s="99"/>
      <c r="J93" s="99">
        <f t="shared" si="7"/>
        <v>0</v>
      </c>
      <c r="K93" s="106"/>
      <c r="L93" s="99"/>
      <c r="M93" s="99"/>
      <c r="N93" s="99"/>
      <c r="O93" s="99"/>
      <c r="P93" s="99">
        <f>J93+E93</f>
        <v>224000</v>
      </c>
    </row>
    <row r="94" spans="1:16" s="54" customFormat="1" ht="18.75" customHeight="1">
      <c r="A94" s="44"/>
      <c r="B94" s="27"/>
      <c r="C94" s="28"/>
      <c r="D94" s="38"/>
      <c r="E94" s="99"/>
      <c r="F94" s="108"/>
      <c r="G94" s="108"/>
      <c r="H94" s="108"/>
      <c r="I94" s="108"/>
      <c r="J94" s="99"/>
      <c r="K94" s="99"/>
      <c r="L94" s="99"/>
      <c r="M94" s="99"/>
      <c r="N94" s="99"/>
      <c r="O94" s="99"/>
      <c r="P94" s="99"/>
    </row>
    <row r="95" spans="1:16" s="54" customFormat="1" ht="15" customHeight="1">
      <c r="A95" s="44"/>
      <c r="B95" s="27"/>
      <c r="C95" s="28"/>
      <c r="D95" s="38"/>
      <c r="E95" s="99"/>
      <c r="F95" s="108"/>
      <c r="G95" s="108"/>
      <c r="H95" s="108"/>
      <c r="I95" s="108"/>
      <c r="J95" s="99"/>
      <c r="K95" s="99"/>
      <c r="L95" s="99"/>
      <c r="M95" s="99"/>
      <c r="N95" s="99"/>
      <c r="O95" s="99"/>
      <c r="P95" s="99"/>
    </row>
    <row r="96" spans="1:16" s="54" customFormat="1" ht="18" customHeight="1">
      <c r="A96" s="44" t="s">
        <v>99</v>
      </c>
      <c r="B96" s="27">
        <v>7321</v>
      </c>
      <c r="C96" s="28" t="s">
        <v>58</v>
      </c>
      <c r="D96" s="31" t="s">
        <v>100</v>
      </c>
      <c r="E96" s="99"/>
      <c r="F96" s="108"/>
      <c r="G96" s="108"/>
      <c r="H96" s="108"/>
      <c r="I96" s="108"/>
      <c r="J96" s="99">
        <f t="shared" si="7"/>
        <v>2810813</v>
      </c>
      <c r="K96" s="99">
        <f>95000+5006+874586+277145+390814+103900+734362+330000</f>
        <v>2810813</v>
      </c>
      <c r="L96" s="99"/>
      <c r="M96" s="99"/>
      <c r="N96" s="99"/>
      <c r="O96" s="99">
        <f>95000+5006+874586+277145+390814+103900+734362+330000</f>
        <v>2810813</v>
      </c>
      <c r="P96" s="99">
        <f>J96+E96</f>
        <v>2810813</v>
      </c>
    </row>
    <row r="97" spans="1:16" s="54" customFormat="1" ht="18" customHeight="1">
      <c r="A97" s="44"/>
      <c r="B97" s="27"/>
      <c r="C97" s="28"/>
      <c r="D97" s="19" t="s">
        <v>44</v>
      </c>
      <c r="E97" s="99"/>
      <c r="F97" s="108"/>
      <c r="G97" s="108"/>
      <c r="H97" s="108"/>
      <c r="I97" s="108"/>
      <c r="J97" s="99"/>
      <c r="K97" s="99"/>
      <c r="L97" s="99"/>
      <c r="M97" s="99"/>
      <c r="N97" s="99"/>
      <c r="O97" s="99"/>
      <c r="P97" s="99"/>
    </row>
    <row r="98" spans="1:16" s="54" customFormat="1" ht="57.75" customHeight="1">
      <c r="A98" s="44"/>
      <c r="B98" s="27"/>
      <c r="C98" s="28"/>
      <c r="D98" s="31" t="s">
        <v>163</v>
      </c>
      <c r="E98" s="99"/>
      <c r="F98" s="108"/>
      <c r="G98" s="108"/>
      <c r="H98" s="108"/>
      <c r="I98" s="108"/>
      <c r="J98" s="99">
        <f>L98+O98</f>
        <v>277145</v>
      </c>
      <c r="K98" s="99">
        <v>277145</v>
      </c>
      <c r="L98" s="99"/>
      <c r="M98" s="99"/>
      <c r="N98" s="99"/>
      <c r="O98" s="99">
        <v>277145</v>
      </c>
      <c r="P98" s="99">
        <f>J98+E98</f>
        <v>277145</v>
      </c>
    </row>
    <row r="99" spans="1:16" s="54" customFormat="1" ht="48.75" customHeight="1">
      <c r="A99" s="44"/>
      <c r="B99" s="27"/>
      <c r="C99" s="28"/>
      <c r="D99" s="31" t="s">
        <v>155</v>
      </c>
      <c r="E99" s="99"/>
      <c r="F99" s="108"/>
      <c r="G99" s="108"/>
      <c r="H99" s="108"/>
      <c r="I99" s="108"/>
      <c r="J99" s="99">
        <f>L99+O99</f>
        <v>330000</v>
      </c>
      <c r="K99" s="99">
        <v>330000</v>
      </c>
      <c r="L99" s="99"/>
      <c r="M99" s="99"/>
      <c r="N99" s="99"/>
      <c r="O99" s="99">
        <v>330000</v>
      </c>
      <c r="P99" s="99">
        <f>J99+E99</f>
        <v>330000</v>
      </c>
    </row>
    <row r="100" spans="1:16" s="54" customFormat="1" ht="33.75" customHeight="1">
      <c r="A100" s="44" t="s">
        <v>158</v>
      </c>
      <c r="B100" s="27">
        <v>7325</v>
      </c>
      <c r="C100" s="28" t="s">
        <v>58</v>
      </c>
      <c r="D100" s="31" t="s">
        <v>159</v>
      </c>
      <c r="E100" s="99"/>
      <c r="F100" s="108"/>
      <c r="G100" s="108"/>
      <c r="H100" s="108"/>
      <c r="I100" s="108"/>
      <c r="J100" s="99">
        <f t="shared" si="7"/>
        <v>0</v>
      </c>
      <c r="K100" s="106"/>
      <c r="L100" s="99"/>
      <c r="M100" s="99"/>
      <c r="N100" s="99"/>
      <c r="O100" s="99"/>
      <c r="P100" s="99">
        <f>J100+E100</f>
        <v>0</v>
      </c>
    </row>
    <row r="101" spans="1:16" s="54" customFormat="1" ht="12.75">
      <c r="A101" s="20"/>
      <c r="B101" s="20"/>
      <c r="C101" s="21"/>
      <c r="D101" s="66" t="s">
        <v>37</v>
      </c>
      <c r="E101" s="80">
        <f>F101+I101</f>
        <v>111617556.17</v>
      </c>
      <c r="F101" s="80">
        <f>F68+F67+F94+F91+F93+F100</f>
        <v>111617556.17</v>
      </c>
      <c r="G101" s="80">
        <f>G68+G67+G94+G91+G93+G100</f>
        <v>77935894</v>
      </c>
      <c r="H101" s="80">
        <f>H68+H67+H94+H91+H93+H100</f>
        <v>7777176</v>
      </c>
      <c r="I101" s="80">
        <f>I68+I67+I94+I91+I93+I100</f>
        <v>0</v>
      </c>
      <c r="J101" s="80">
        <f t="shared" si="7"/>
        <v>7151299</v>
      </c>
      <c r="K101" s="80">
        <f>K68+K67+K94+K91+K93+K100+K96</f>
        <v>4345699</v>
      </c>
      <c r="L101" s="80">
        <f>L68+L67+L94+L91+L93+L100+L96</f>
        <v>2805600</v>
      </c>
      <c r="M101" s="80">
        <f>M68+M67+M94+M91+M93+M100+M96</f>
        <v>0</v>
      </c>
      <c r="N101" s="80">
        <f>N68+N67+N94+N91+N93+N100+N96</f>
        <v>0</v>
      </c>
      <c r="O101" s="80">
        <f>O68+O67+O94+O91+O93+O100+O96</f>
        <v>4345699</v>
      </c>
      <c r="P101" s="80">
        <f>J101+E101</f>
        <v>118768855.17</v>
      </c>
    </row>
    <row r="102" spans="1:16" ht="55.5" customHeight="1">
      <c r="A102" s="33" t="s">
        <v>34</v>
      </c>
      <c r="B102" s="24"/>
      <c r="C102" s="22"/>
      <c r="D102" s="16" t="s">
        <v>39</v>
      </c>
      <c r="E102" s="110"/>
      <c r="F102" s="110"/>
      <c r="G102" s="110"/>
      <c r="H102" s="110"/>
      <c r="I102" s="110"/>
      <c r="J102" s="110"/>
      <c r="K102" s="111"/>
      <c r="L102" s="110"/>
      <c r="M102" s="110"/>
      <c r="N102" s="110"/>
      <c r="O102" s="110"/>
      <c r="P102" s="110"/>
    </row>
    <row r="103" spans="1:16" ht="50.25" customHeight="1">
      <c r="A103" s="33" t="s">
        <v>36</v>
      </c>
      <c r="B103" s="24"/>
      <c r="C103" s="15"/>
      <c r="D103" s="16" t="s">
        <v>39</v>
      </c>
      <c r="E103" s="110"/>
      <c r="F103" s="112"/>
      <c r="G103" s="108"/>
      <c r="H103" s="108"/>
      <c r="I103" s="108"/>
      <c r="J103" s="108"/>
      <c r="K103" s="109"/>
      <c r="L103" s="108"/>
      <c r="M103" s="108"/>
      <c r="N103" s="108"/>
      <c r="O103" s="108"/>
      <c r="P103" s="108"/>
    </row>
    <row r="104" spans="1:16" s="54" customFormat="1" ht="55.5" customHeight="1">
      <c r="A104" s="61" t="s">
        <v>86</v>
      </c>
      <c r="B104" s="62" t="s">
        <v>49</v>
      </c>
      <c r="C104" s="63" t="s">
        <v>12</v>
      </c>
      <c r="D104" s="50" t="s">
        <v>76</v>
      </c>
      <c r="E104" s="99">
        <f aca="true" t="shared" si="8" ref="E104:E111">F104+I104</f>
        <v>1407898</v>
      </c>
      <c r="F104" s="99">
        <f>1328823+79075</f>
        <v>1407898</v>
      </c>
      <c r="G104" s="99">
        <f>1032900+64815</f>
        <v>1097715</v>
      </c>
      <c r="H104" s="99">
        <v>29023</v>
      </c>
      <c r="I104" s="99"/>
      <c r="J104" s="99">
        <f>L104+O104</f>
        <v>7000</v>
      </c>
      <c r="K104" s="106">
        <v>7000</v>
      </c>
      <c r="L104" s="99"/>
      <c r="M104" s="99"/>
      <c r="N104" s="99"/>
      <c r="O104" s="99">
        <v>7000</v>
      </c>
      <c r="P104" s="99">
        <f aca="true" t="shared" si="9" ref="P104:P112">J104+E104</f>
        <v>1414898</v>
      </c>
    </row>
    <row r="105" spans="1:16" s="54" customFormat="1" ht="12.75">
      <c r="A105" s="61"/>
      <c r="B105" s="62"/>
      <c r="C105" s="63"/>
      <c r="D105" s="26"/>
      <c r="E105" s="99"/>
      <c r="F105" s="99"/>
      <c r="G105" s="99"/>
      <c r="H105" s="99"/>
      <c r="I105" s="99"/>
      <c r="J105" s="99"/>
      <c r="K105" s="99"/>
      <c r="L105" s="99"/>
      <c r="M105" s="99"/>
      <c r="N105" s="99"/>
      <c r="O105" s="99"/>
      <c r="P105" s="99"/>
    </row>
    <row r="106" spans="1:16" s="54" customFormat="1" ht="21" customHeight="1">
      <c r="A106" s="44">
        <v>1014040</v>
      </c>
      <c r="B106" s="27">
        <v>4040</v>
      </c>
      <c r="C106" s="17" t="s">
        <v>50</v>
      </c>
      <c r="D106" s="31" t="s">
        <v>87</v>
      </c>
      <c r="E106" s="99">
        <f t="shared" si="8"/>
        <v>726243</v>
      </c>
      <c r="F106" s="99">
        <v>726243</v>
      </c>
      <c r="G106" s="99">
        <v>501538</v>
      </c>
      <c r="H106" s="99">
        <f>73415-900</f>
        <v>72515</v>
      </c>
      <c r="I106" s="99"/>
      <c r="J106" s="99">
        <f>O106+L106</f>
        <v>12000</v>
      </c>
      <c r="K106" s="106">
        <v>12000</v>
      </c>
      <c r="L106" s="99"/>
      <c r="M106" s="99"/>
      <c r="N106" s="99"/>
      <c r="O106" s="99">
        <v>12000</v>
      </c>
      <c r="P106" s="99">
        <f t="shared" si="9"/>
        <v>738243</v>
      </c>
    </row>
    <row r="107" spans="1:16" s="54" customFormat="1" ht="44.25" customHeight="1">
      <c r="A107" s="44">
        <v>1014060</v>
      </c>
      <c r="B107" s="27">
        <v>4060</v>
      </c>
      <c r="C107" s="17" t="s">
        <v>18</v>
      </c>
      <c r="D107" s="31" t="s">
        <v>88</v>
      </c>
      <c r="E107" s="99">
        <f t="shared" si="8"/>
        <v>5884035</v>
      </c>
      <c r="F107" s="99">
        <f>5570137+129678-61500-20000+330000-20000-110000+32525+22270+50000-39075</f>
        <v>5884035</v>
      </c>
      <c r="G107" s="99">
        <f>3883500-16400-64815</f>
        <v>3802285</v>
      </c>
      <c r="H107" s="99">
        <f>485136-4735-36500</f>
        <v>443901</v>
      </c>
      <c r="I107" s="99"/>
      <c r="J107" s="99">
        <f>L107+O107</f>
        <v>6300</v>
      </c>
      <c r="K107" s="106">
        <f>50000-50000</f>
        <v>0</v>
      </c>
      <c r="L107" s="99">
        <v>6300</v>
      </c>
      <c r="M107" s="99"/>
      <c r="N107" s="99"/>
      <c r="O107" s="99">
        <f>50000-50000</f>
        <v>0</v>
      </c>
      <c r="P107" s="99">
        <f t="shared" si="9"/>
        <v>5890335</v>
      </c>
    </row>
    <row r="108" spans="1:16" s="54" customFormat="1" ht="12.75">
      <c r="A108" s="44"/>
      <c r="B108" s="27"/>
      <c r="C108" s="17"/>
      <c r="D108" s="31"/>
      <c r="E108" s="99"/>
      <c r="F108" s="99"/>
      <c r="G108" s="99"/>
      <c r="H108" s="99"/>
      <c r="I108" s="99"/>
      <c r="J108" s="99"/>
      <c r="K108" s="106"/>
      <c r="L108" s="99"/>
      <c r="M108" s="99"/>
      <c r="N108" s="99"/>
      <c r="O108" s="99"/>
      <c r="P108" s="99"/>
    </row>
    <row r="109" spans="1:16" s="54" customFormat="1" ht="12.75">
      <c r="A109" s="44">
        <v>1014082</v>
      </c>
      <c r="B109" s="27">
        <v>4082</v>
      </c>
      <c r="C109" s="17" t="s">
        <v>19</v>
      </c>
      <c r="D109" s="31" t="s">
        <v>92</v>
      </c>
      <c r="E109" s="99">
        <f t="shared" si="8"/>
        <v>227955</v>
      </c>
      <c r="F109" s="99">
        <f>450000-80000-32525-22270-87250</f>
        <v>227955</v>
      </c>
      <c r="G109" s="99"/>
      <c r="H109" s="99"/>
      <c r="I109" s="99"/>
      <c r="J109" s="99"/>
      <c r="K109" s="106"/>
      <c r="L109" s="99"/>
      <c r="M109" s="99"/>
      <c r="N109" s="99"/>
      <c r="O109" s="99"/>
      <c r="P109" s="99">
        <f t="shared" si="9"/>
        <v>227955</v>
      </c>
    </row>
    <row r="110" spans="1:16" s="54" customFormat="1" ht="12.75">
      <c r="A110" s="44"/>
      <c r="B110" s="27"/>
      <c r="C110" s="17"/>
      <c r="D110" s="31"/>
      <c r="E110" s="99"/>
      <c r="F110" s="99"/>
      <c r="G110" s="99"/>
      <c r="H110" s="99"/>
      <c r="I110" s="99"/>
      <c r="J110" s="99"/>
      <c r="K110" s="99"/>
      <c r="L110" s="99"/>
      <c r="M110" s="99"/>
      <c r="N110" s="99"/>
      <c r="O110" s="99"/>
      <c r="P110" s="99"/>
    </row>
    <row r="111" spans="1:16" s="54" customFormat="1" ht="27" customHeight="1">
      <c r="A111" s="44">
        <v>1011100</v>
      </c>
      <c r="B111" s="27">
        <v>1100</v>
      </c>
      <c r="C111" s="17" t="s">
        <v>46</v>
      </c>
      <c r="D111" s="31" t="s">
        <v>132</v>
      </c>
      <c r="E111" s="99">
        <f t="shared" si="8"/>
        <v>2151892</v>
      </c>
      <c r="F111" s="99">
        <f>2145292+6600</f>
        <v>2151892</v>
      </c>
      <c r="G111" s="99">
        <v>1697300</v>
      </c>
      <c r="H111" s="99">
        <f>45286-1000</f>
        <v>44286</v>
      </c>
      <c r="I111" s="99"/>
      <c r="J111" s="99">
        <f>O111+L111</f>
        <v>144700</v>
      </c>
      <c r="K111" s="106"/>
      <c r="L111" s="99">
        <v>144700</v>
      </c>
      <c r="M111" s="99">
        <v>113350</v>
      </c>
      <c r="N111" s="99"/>
      <c r="O111" s="99"/>
      <c r="P111" s="99">
        <f t="shared" si="9"/>
        <v>2296592</v>
      </c>
    </row>
    <row r="112" spans="1:16" s="54" customFormat="1" ht="27" customHeight="1">
      <c r="A112" s="44">
        <v>1017324</v>
      </c>
      <c r="B112" s="27">
        <v>7324</v>
      </c>
      <c r="C112" s="17" t="s">
        <v>58</v>
      </c>
      <c r="D112" s="31" t="s">
        <v>164</v>
      </c>
      <c r="E112" s="99"/>
      <c r="F112" s="99"/>
      <c r="G112" s="99"/>
      <c r="H112" s="99"/>
      <c r="I112" s="99"/>
      <c r="J112" s="99">
        <f>L112+O112</f>
        <v>284650</v>
      </c>
      <c r="K112" s="106">
        <f>27400+100000+110000+47250</f>
        <v>284650</v>
      </c>
      <c r="L112" s="99"/>
      <c r="M112" s="99"/>
      <c r="N112" s="99"/>
      <c r="O112" s="99">
        <f>27400+100000+110000+47250</f>
        <v>284650</v>
      </c>
      <c r="P112" s="99">
        <f t="shared" si="9"/>
        <v>284650</v>
      </c>
    </row>
    <row r="113" spans="1:16" s="54" customFormat="1" ht="12.75">
      <c r="A113" s="55"/>
      <c r="B113" s="55"/>
      <c r="C113" s="56"/>
      <c r="D113" s="45" t="s">
        <v>37</v>
      </c>
      <c r="E113" s="80">
        <f>F113+I113</f>
        <v>10398023</v>
      </c>
      <c r="F113" s="80">
        <f>F104+F105+F111+F106+F107+F109+F112</f>
        <v>10398023</v>
      </c>
      <c r="G113" s="80">
        <f>G104+G105+G111+G106+G107+G109+G112</f>
        <v>7098838</v>
      </c>
      <c r="H113" s="80">
        <f>H104+H105+H111+H106+H107+H109+H112</f>
        <v>589725</v>
      </c>
      <c r="I113" s="80">
        <f>I104+I105+I111+I106+I107+I109+I112</f>
        <v>0</v>
      </c>
      <c r="J113" s="80">
        <f>L113+O113</f>
        <v>454650</v>
      </c>
      <c r="K113" s="80">
        <f>K104+K105+K111+K106+K107+K109+K112</f>
        <v>303650</v>
      </c>
      <c r="L113" s="80">
        <f>L104+L105+L111+L106+L107+L109+L112</f>
        <v>151000</v>
      </c>
      <c r="M113" s="80">
        <f>M104+M105+M111+M106+M107+M109+M112</f>
        <v>113350</v>
      </c>
      <c r="N113" s="80">
        <f>N104+N105+N111+N106+N107+N109+N112</f>
        <v>0</v>
      </c>
      <c r="O113" s="80">
        <f>O104+O105+O111+O106+O107+O109+O112</f>
        <v>303650</v>
      </c>
      <c r="P113" s="80">
        <f>E113+J113</f>
        <v>10852673</v>
      </c>
    </row>
    <row r="114" spans="1:27" s="54" customFormat="1" ht="12.75">
      <c r="A114" s="46"/>
      <c r="B114" s="47"/>
      <c r="C114" s="48"/>
      <c r="D114" s="48" t="s">
        <v>2</v>
      </c>
      <c r="E114" s="79">
        <f>F114+I114+E50</f>
        <v>181575937.65</v>
      </c>
      <c r="F114" s="79">
        <f>F101+F113+F64</f>
        <v>177530661.65</v>
      </c>
      <c r="G114" s="79">
        <f>G101+G113+G64</f>
        <v>104878087</v>
      </c>
      <c r="H114" s="79">
        <f>H101+H113+H64</f>
        <v>10145534</v>
      </c>
      <c r="I114" s="79">
        <f>I101+I113+I64</f>
        <v>4000276</v>
      </c>
      <c r="J114" s="79">
        <f>L114+O114</f>
        <v>19512725.08</v>
      </c>
      <c r="K114" s="79">
        <f>K101+K113+K64</f>
        <v>13064086.08</v>
      </c>
      <c r="L114" s="79">
        <f>L101+L113+L64</f>
        <v>3116639</v>
      </c>
      <c r="M114" s="79">
        <f>M101+M113+M64</f>
        <v>113350</v>
      </c>
      <c r="N114" s="79">
        <f>N101+N113+N64</f>
        <v>0</v>
      </c>
      <c r="O114" s="79">
        <f>O101+O113+O64</f>
        <v>16396086.08</v>
      </c>
      <c r="P114" s="80">
        <f>E114+J114</f>
        <v>201088662.73000002</v>
      </c>
      <c r="Q114" s="92"/>
      <c r="R114" s="92"/>
      <c r="S114" s="92"/>
      <c r="T114" s="92"/>
      <c r="U114" s="92"/>
      <c r="V114" s="92"/>
      <c r="W114" s="92"/>
      <c r="X114" s="92"/>
      <c r="Y114" s="92"/>
      <c r="Z114" s="92"/>
      <c r="AA114" s="93"/>
    </row>
    <row r="115" spans="1:16" s="54" customFormat="1" ht="57" customHeight="1">
      <c r="A115" s="57"/>
      <c r="B115" s="57"/>
      <c r="C115" s="57"/>
      <c r="D115" s="49" t="s">
        <v>30</v>
      </c>
      <c r="E115" s="78">
        <f>F115+I115</f>
        <v>60356206.65</v>
      </c>
      <c r="F115" s="78">
        <f>F51+F71+F75+F76+F90+F52+F79+F42+F78+F81+F98+F80+F72+F20</f>
        <v>60356206.65</v>
      </c>
      <c r="G115" s="78">
        <f>G51+G71+G75+G76+G90+G52+G79+G42+G78+G81+G98+G80+G72+G20</f>
        <v>44222492</v>
      </c>
      <c r="H115" s="78">
        <f>H51+H71+H75+H76+H90+H52+H79+H42+H78+H81+H98+H80+H72+H20</f>
        <v>1125</v>
      </c>
      <c r="I115" s="78">
        <f>I51+I71+I75+I76+I90+I52+I79+I42+I78+I81+I98+I80+I72+I20</f>
        <v>0</v>
      </c>
      <c r="J115" s="78">
        <f>L115+O115</f>
        <v>12311238.08</v>
      </c>
      <c r="K115" s="78">
        <f>K51+K71+K75+K76+K90+K52+K79+K42+K78+K81+K98+K80+K72+K43+K99</f>
        <v>8979238.08</v>
      </c>
      <c r="L115" s="78">
        <f>L51+L71+L75+L76+L90+L52+L79+L42+L78+L81+L98+L80+L72+L43+L99</f>
        <v>0</v>
      </c>
      <c r="M115" s="78">
        <f>M51+M71+M75+M76+M90+M52+M79+M42+M78+M81+M98+M80+M72+M43+M99</f>
        <v>0</v>
      </c>
      <c r="N115" s="78">
        <f>N51+N71+N75+N76+N90+N52+N79+N42+N78+N81+N98+N80+N72+N43+N99</f>
        <v>0</v>
      </c>
      <c r="O115" s="78">
        <f>O51+O71+O75+O76+O90+O52+O79+O42+O78+O81+O98+O80+O72+O43+O99</f>
        <v>12311238.08</v>
      </c>
      <c r="P115" s="77">
        <f>E115+J115</f>
        <v>72667444.73</v>
      </c>
    </row>
    <row r="116" spans="1:16" s="54" customFormat="1" ht="18" customHeight="1">
      <c r="A116" s="57"/>
      <c r="B116" s="57"/>
      <c r="C116" s="57"/>
      <c r="D116" s="49" t="s">
        <v>156</v>
      </c>
      <c r="E116" s="78"/>
      <c r="F116" s="78"/>
      <c r="G116" s="78"/>
      <c r="H116" s="78"/>
      <c r="I116" s="78"/>
      <c r="J116" s="78"/>
      <c r="K116" s="78"/>
      <c r="L116" s="78"/>
      <c r="M116" s="78"/>
      <c r="N116" s="78"/>
      <c r="O116" s="78"/>
      <c r="P116" s="94"/>
    </row>
    <row r="117" spans="1:16" s="54" customFormat="1" ht="83.25" customHeight="1">
      <c r="A117" s="57"/>
      <c r="B117" s="57"/>
      <c r="C117" s="57"/>
      <c r="D117" s="49" t="s">
        <v>157</v>
      </c>
      <c r="E117" s="78">
        <f>F117+I117</f>
        <v>1445017.65</v>
      </c>
      <c r="F117" s="113">
        <f>1079631.48+30363.17+340000-4977</f>
        <v>1445017.65</v>
      </c>
      <c r="G117" s="78">
        <f>180000+18436</f>
        <v>198436</v>
      </c>
      <c r="H117" s="78"/>
      <c r="I117" s="78"/>
      <c r="J117" s="78">
        <f>L117+O117</f>
        <v>7946673.08</v>
      </c>
      <c r="K117" s="78">
        <f>7339528.08+277145+330000</f>
        <v>7946673.08</v>
      </c>
      <c r="L117" s="78"/>
      <c r="M117" s="78"/>
      <c r="N117" s="78"/>
      <c r="O117" s="78">
        <f>7339528.08+277145+330000</f>
        <v>7946673.08</v>
      </c>
      <c r="P117" s="77">
        <f>E117+J117</f>
        <v>9391690.73</v>
      </c>
    </row>
    <row r="118" spans="1:16" ht="33" customHeight="1">
      <c r="A118" s="100" t="s">
        <v>170</v>
      </c>
      <c r="B118" s="100"/>
      <c r="C118" s="100"/>
      <c r="D118" s="100"/>
      <c r="E118" s="23"/>
      <c r="F118" s="72"/>
      <c r="G118" s="72"/>
      <c r="H118" s="72"/>
      <c r="I118" s="73"/>
      <c r="J118" s="119" t="s">
        <v>171</v>
      </c>
      <c r="K118" s="119"/>
      <c r="L118" s="119"/>
      <c r="M118" s="119"/>
      <c r="N118" s="119"/>
      <c r="O118" s="72"/>
      <c r="P118" s="72"/>
    </row>
    <row r="119" spans="2:18" ht="15">
      <c r="B119" s="2"/>
      <c r="D119" s="32"/>
      <c r="F119" s="74"/>
      <c r="G119" s="74"/>
      <c r="H119" s="74"/>
      <c r="I119" s="13"/>
      <c r="J119" s="74"/>
      <c r="K119" s="75"/>
      <c r="L119" s="74"/>
      <c r="M119" s="74"/>
      <c r="N119" s="74"/>
      <c r="O119" s="74"/>
      <c r="P119" s="74"/>
      <c r="R119" s="68"/>
    </row>
    <row r="120" spans="5:16" ht="12.75">
      <c r="E120" s="12"/>
      <c r="F120" s="12"/>
      <c r="G120" s="12"/>
      <c r="H120" s="12"/>
      <c r="I120" s="12"/>
      <c r="J120" s="12"/>
      <c r="K120" s="12"/>
      <c r="L120" s="12"/>
      <c r="M120" s="12"/>
      <c r="N120" s="12"/>
      <c r="O120" s="12"/>
      <c r="P120" s="12"/>
    </row>
    <row r="122" spans="1:16" ht="12.75">
      <c r="A122" s="3"/>
      <c r="E122" s="12"/>
      <c r="F122" s="12"/>
      <c r="G122" s="12"/>
      <c r="H122" s="12"/>
      <c r="I122" s="12"/>
      <c r="J122" s="12"/>
      <c r="K122" s="12"/>
      <c r="L122" s="12"/>
      <c r="M122" s="12"/>
      <c r="N122" s="12"/>
      <c r="O122" s="12"/>
      <c r="P122" s="12"/>
    </row>
    <row r="123" spans="1:12" ht="12.75">
      <c r="A123" s="3"/>
      <c r="L123" s="12"/>
    </row>
    <row r="124" ht="12.75">
      <c r="A124" s="3"/>
    </row>
    <row r="125" ht="12.75">
      <c r="A125" s="3"/>
    </row>
    <row r="150" spans="3:8" ht="12.75">
      <c r="C150" s="95"/>
      <c r="D150" s="96"/>
      <c r="E150" s="96"/>
      <c r="F150" s="97"/>
      <c r="G150" s="98"/>
      <c r="H150" s="95"/>
    </row>
    <row r="151" spans="3:8" ht="12.75">
      <c r="C151" s="95"/>
      <c r="D151" s="95"/>
      <c r="E151" s="95"/>
      <c r="F151" s="95"/>
      <c r="G151" s="95"/>
      <c r="H151" s="95"/>
    </row>
  </sheetData>
  <sheetProtection/>
  <mergeCells count="25">
    <mergeCell ref="A5:P5"/>
    <mergeCell ref="A6:P6"/>
    <mergeCell ref="A10:A13"/>
    <mergeCell ref="B10:B13"/>
    <mergeCell ref="C10:C13"/>
    <mergeCell ref="P10:P13"/>
    <mergeCell ref="M12:M13"/>
    <mergeCell ref="G12:G13"/>
    <mergeCell ref="J10:O10"/>
    <mergeCell ref="N12:N13"/>
    <mergeCell ref="O11:O13"/>
    <mergeCell ref="H12:H13"/>
    <mergeCell ref="I11:I13"/>
    <mergeCell ref="L11:L13"/>
    <mergeCell ref="M11:N11"/>
    <mergeCell ref="K11:K13"/>
    <mergeCell ref="J118:N118"/>
    <mergeCell ref="B8:C8"/>
    <mergeCell ref="B9:C9"/>
    <mergeCell ref="F11:F13"/>
    <mergeCell ref="G11:H11"/>
    <mergeCell ref="D10:D13"/>
    <mergeCell ref="E10:I10"/>
    <mergeCell ref="E11:E13"/>
    <mergeCell ref="J11:J13"/>
  </mergeCells>
  <printOptions/>
  <pageMargins left="0.1968503937007874" right="0.1968503937007874" top="0.3937007874015748" bottom="0.1968503937007874" header="0" footer="0"/>
  <pageSetup fitToHeight="500" horizontalDpi="600" verticalDpi="600" orientation="landscape" paperSize="9" scale="55" r:id="rId1"/>
  <headerFooter differentFirst="1" alignWithMargins="0">
    <oddHeader>&amp;RПродовження додатка 3.1</oddHeader>
  </headerFooter>
  <rowBreaks count="4" manualBreakCount="4">
    <brk id="37" max="15" man="1"/>
    <brk id="56" max="15" man="1"/>
    <brk id="72" max="15" man="1"/>
    <brk id="94"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MoBIL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гол бухгалтер</dc:creator>
  <cp:keywords/>
  <dc:description/>
  <cp:lastModifiedBy>Користувач Windows</cp:lastModifiedBy>
  <cp:lastPrinted>2020-10-08T15:24:53Z</cp:lastPrinted>
  <dcterms:created xsi:type="dcterms:W3CDTF">2016-12-26T13:46:38Z</dcterms:created>
  <dcterms:modified xsi:type="dcterms:W3CDTF">2020-10-08T15:24:56Z</dcterms:modified>
  <cp:category/>
  <cp:version/>
  <cp:contentType/>
  <cp:contentStatus/>
</cp:coreProperties>
</file>