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195" windowHeight="11025" firstSheet="12" activeTab="12"/>
  </bookViews>
  <sheets>
    <sheet name="2017 рік (роботи)" sheetId="1" state="hidden" r:id="rId1"/>
    <sheet name="2017 рік (ПКД+ роботи)" sheetId="2" state="hidden" r:id="rId2"/>
    <sheet name="2017 рік (ПКД)" sheetId="3" state="hidden" r:id="rId3"/>
    <sheet name="2017 рік" sheetId="4" state="hidden" r:id="rId4"/>
    <sheet name="2017 рік-уточн" sheetId="5" state="hidden" r:id="rId5"/>
    <sheet name="2017 рік-уточн (2)" sheetId="6" state="hidden" r:id="rId6"/>
    <sheet name="2017 рік-уточн (3)" sheetId="7" state="hidden" r:id="rId7"/>
    <sheet name="бюдж.запит. 2018 (ПКД в наявн.)" sheetId="8" state="hidden" r:id="rId8"/>
    <sheet name="бюдж.запит. 2018 ПКД" sheetId="9" state="hidden" r:id="rId9"/>
    <sheet name="бюдж.запит. 2018 ПКД+роботи" sheetId="10" state="hidden" r:id="rId10"/>
    <sheet name="бюдж.запит. 2018 роботи" sheetId="11" state="hidden" r:id="rId11"/>
    <sheet name="бюдж.запит. 2018 (введення)" sheetId="12" state="hidden" r:id="rId12"/>
    <sheet name="2020-6" sheetId="13" r:id="rId13"/>
    <sheet name="ОЦФОНПС" sheetId="14" state="hidden" r:id="rId14"/>
    <sheet name="бюдж.запит. 2018-2020 ОЦФОНПС" sheetId="15" state="hidden" r:id="rId15"/>
    <sheet name="2017 рік-уточн (ПКД)" sheetId="16" state="hidden" r:id="rId16"/>
    <sheet name="2017 рік-субв." sheetId="17" state="hidden" r:id="rId17"/>
    <sheet name="2017 рік-субв. (2)" sheetId="18" state="hidden" r:id="rId18"/>
    <sheet name="2017 рік фізкультура" sheetId="19" state="hidden" r:id="rId19"/>
    <sheet name="2017 рік культура" sheetId="20" state="hidden" r:id="rId20"/>
    <sheet name="2017 рік-енергоефект." sheetId="21" state="hidden" r:id="rId21"/>
  </sheets>
  <definedNames>
    <definedName name="_xlnm.Print_Titles" localSheetId="3">'2017 рік'!$3:$4</definedName>
    <definedName name="_xlnm.Print_Titles" localSheetId="2">'2017 рік (ПКД)'!$3:$4</definedName>
    <definedName name="_xlnm.Print_Titles" localSheetId="1">'2017 рік (ПКД+ роботи)'!$3:$4</definedName>
    <definedName name="_xlnm.Print_Titles" localSheetId="0">'2017 рік (роботи)'!$3:$4</definedName>
    <definedName name="_xlnm.Print_Titles" localSheetId="19">'2017 рік культура'!$3:$4</definedName>
    <definedName name="_xlnm.Print_Titles" localSheetId="18">'2017 рік фізкультура'!$3:$4</definedName>
    <definedName name="_xlnm.Print_Titles" localSheetId="20">'2017 рік-енергоефект.'!$3:$4</definedName>
    <definedName name="_xlnm.Print_Titles" localSheetId="16">'2017 рік-субв.'!$3:$4</definedName>
    <definedName name="_xlnm.Print_Titles" localSheetId="17">'2017 рік-субв. (2)'!$3:$4</definedName>
    <definedName name="_xlnm.Print_Titles" localSheetId="4">'2017 рік-уточн'!$3:$4</definedName>
    <definedName name="_xlnm.Print_Titles" localSheetId="5">'2017 рік-уточн (2)'!$3:$4</definedName>
    <definedName name="_xlnm.Print_Titles" localSheetId="6">'2017 рік-уточн (3)'!$3:$4</definedName>
    <definedName name="_xlnm.Print_Titles" localSheetId="15">'2017 рік-уточн (ПКД)'!$3:$4</definedName>
    <definedName name="_xlnm.Print_Titles" localSheetId="12">'2020-6'!$10:$11</definedName>
    <definedName name="_xlnm.Print_Titles" localSheetId="11">'бюдж.запит. 2018 (введення)'!$3:$5</definedName>
    <definedName name="_xlnm.Print_Titles" localSheetId="7">'бюдж.запит. 2018 (ПКД в наявн.)'!$3:$5</definedName>
    <definedName name="_xlnm.Print_Titles" localSheetId="8">'бюдж.запит. 2018 ПКД'!$3:$5</definedName>
    <definedName name="_xlnm.Print_Titles" localSheetId="9">'бюдж.запит. 2018 ПКД+роботи'!$3:$5</definedName>
    <definedName name="_xlnm.Print_Titles" localSheetId="10">'бюдж.запит. 2018 роботи'!$3:$5</definedName>
    <definedName name="_xlnm.Print_Titles" localSheetId="14">'бюдж.запит. 2018-2020 ОЦФОНПС'!$3:$5</definedName>
    <definedName name="_xlnm.Print_Titles" localSheetId="13">'ОЦФОНПС'!$3:$5</definedName>
    <definedName name="_xlnm.Print_Area" localSheetId="3">'2017 рік'!$A$1:$H$103</definedName>
    <definedName name="_xlnm.Print_Area" localSheetId="2">'2017 рік (ПКД)'!$A$1:$H$37</definedName>
    <definedName name="_xlnm.Print_Area" localSheetId="1">'2017 рік (ПКД+ роботи)'!$A$1:$H$46</definedName>
    <definedName name="_xlnm.Print_Area" localSheetId="0">'2017 рік (роботи)'!$A$1:$H$37</definedName>
    <definedName name="_xlnm.Print_Area" localSheetId="19">'2017 рік культура'!$A$1:$H$25</definedName>
    <definedName name="_xlnm.Print_Area" localSheetId="18">'2017 рік фізкультура'!$A$1:$H$14</definedName>
    <definedName name="_xlnm.Print_Area" localSheetId="20">'2017 рік-енергоефект.'!$A$1:$H$20</definedName>
    <definedName name="_xlnm.Print_Area" localSheetId="16">'2017 рік-субв.'!$A$1:$H$10</definedName>
    <definedName name="_xlnm.Print_Area" localSheetId="17">'2017 рік-субв. (2)'!$A$1:$H$9</definedName>
    <definedName name="_xlnm.Print_Area" localSheetId="4">'2017 рік-уточн'!$A$1:$H$34</definedName>
    <definedName name="_xlnm.Print_Area" localSheetId="5">'2017 рік-уточн (2)'!$A$1:$H$36</definedName>
    <definedName name="_xlnm.Print_Area" localSheetId="6">'2017 рік-уточн (3)'!$A$1:$H$34</definedName>
    <definedName name="_xlnm.Print_Area" localSheetId="15">'2017 рік-уточн (ПКД)'!$A$1:$H$18</definedName>
    <definedName name="_xlnm.Print_Area" localSheetId="12">'2020-6'!$A$1:$K$15</definedName>
    <definedName name="_xlnm.Print_Area" localSheetId="11">'бюдж.запит. 2018 (введення)'!$A$1:$S$39</definedName>
    <definedName name="_xlnm.Print_Area" localSheetId="7">'бюдж.запит. 2018 (ПКД в наявн.)'!$A$1:$S$52</definedName>
    <definedName name="_xlnm.Print_Area" localSheetId="8">'бюдж.запит. 2018 ПКД'!$A$1:$S$30</definedName>
    <definedName name="_xlnm.Print_Area" localSheetId="9">'бюдж.запит. 2018 ПКД+роботи'!$A$1:$S$18</definedName>
    <definedName name="_xlnm.Print_Area" localSheetId="10">'бюдж.запит. 2018 роботи'!$A$1:$S$37</definedName>
    <definedName name="_xlnm.Print_Area" localSheetId="14">'бюдж.запит. 2018-2020 ОЦФОНПС'!$A$1:$S$13</definedName>
    <definedName name="_xlnm.Print_Area" localSheetId="13">'ОЦФОНПС'!$A$1:$S$25</definedName>
  </definedNames>
  <calcPr fullCalcOnLoad="1"/>
</workbook>
</file>

<file path=xl/sharedStrings.xml><?xml version="1.0" encoding="utf-8"?>
<sst xmlns="http://schemas.openxmlformats.org/spreadsheetml/2006/main" count="2066" uniqueCount="524">
  <si>
    <t>Ремонтно-відновлювальні роботи набережної обласної спеціалізованої дитячо-юнацької спортивної школи олімпійського резерву з вітрильного спорту "Обласний яхт-клуб" по вул.Спортивна, 7, м.Миколаїв (в т.ч. виготовлення проектно-кошторисної документації та проведення експертизи)</t>
  </si>
  <si>
    <t>Капітальний ремонт громадського туалету обласної спеціалізованої дитячо-юнацької спортивної школи олімпійського резерву з вітрильного спорту "Обласний яхт-клуб" по вул.Спортивна, 7, м.Миколаїв (в т.ч. виготовлення проектно-кошторисної документації та проведення експертизи)</t>
  </si>
  <si>
    <t>070806
3132</t>
  </si>
  <si>
    <t>Капітальний ремонт та санація будівлі спального корпусу Вищого училища Миколаївської обласної ради, по вул. Чигрина,41 м. Миколаєва (в тому числі виготовлення проектно-кошторисної документації та проведення експертизи)</t>
  </si>
  <si>
    <t>ПКД+експертиза орієнтовно 40,000 тис. грн.</t>
  </si>
  <si>
    <t>Капітальний ремонт з утеплення будівлі Лупаревського психоневрологічного інтернату по вул. Проїзжа,33 в с. Лупареве Жовтневого району Миколаївської області (в т.ч. коригування ПКД та проведення експертизи)</t>
  </si>
  <si>
    <t>110102
3132</t>
  </si>
  <si>
    <t>Реставрація адміністрацивної будівлі Миколаївського обласного центру перепідготовки та підвищення кваліфікації працівників органів державної влади, органів місцевого самоврядування, державних підприємств, установ і організацій по вул.Шевченка, 64 у м.Миколаєві (в т.ч. виготовлення проектно-кошторисної документації та проведення експертизи)</t>
  </si>
  <si>
    <t>Капітальний ремонт приміщень Миколаївського художнього російського драматичного театру по вул. Адміральська, 27 у м.Миколаєві (в т.ч. виготовлення проектно-кошторисної документації та проведення експертизи)</t>
  </si>
  <si>
    <t>Капітальний ремонт будівлі обласного інституту післядипломної педагогічної освіти по вул. Адміральська, 4-А у м. Миколаєві (в т.ч. виготовлення проектно-кошторисної документації та проведення експертизи)</t>
  </si>
  <si>
    <t>Капітальний ремонт покрівлі харчоблоку Миколаївської обласної психiатричної лiкарні № 2, по вул.Сєвєрна, 14 в с.Сапетня Миколаївського району Миколаївської області (в т.ч. виготовлення проектно-кошторисної документації та проведення експертизи)</t>
  </si>
  <si>
    <t>Кошторисна вартість, тис.грн.</t>
  </si>
  <si>
    <t>№ п/п</t>
  </si>
  <si>
    <t>Всього:</t>
  </si>
  <si>
    <t>Найменування об'єкту</t>
  </si>
  <si>
    <t>Примітка</t>
  </si>
  <si>
    <t>Відсоток завершеності будівництва об’єктів на майбутні рокиі, %</t>
  </si>
  <si>
    <t>КТКВК
КЕКВ</t>
  </si>
  <si>
    <t>070301
3132</t>
  </si>
  <si>
    <t>150101
3142</t>
  </si>
  <si>
    <t>150110
3142</t>
  </si>
  <si>
    <t>Реконструкція виробничого корпусу  Рацинської спеціальної  загальноосвітньої  школи-інтернату Вознесенського району Миколаївської обласної ради, по вул. Учительська, 6, у с.Рацинська Дача Вознесенського району Миколаївської області</t>
  </si>
  <si>
    <t>Реконструкція майстерні Первомайської спеціальної загальноосвітньої  школи-інтернату Миколаївської обласної ради по вул. Краснофлотська, 25, у м.Первомайську Миколаївської області</t>
  </si>
  <si>
    <t>150201
3142</t>
  </si>
  <si>
    <t>130114
3132</t>
  </si>
  <si>
    <t>090901
3132</t>
  </si>
  <si>
    <t>080101
3132</t>
  </si>
  <si>
    <t>130107
3132</t>
  </si>
  <si>
    <t>150119
3142</t>
  </si>
  <si>
    <t>Реконструкція обласного протитуберкульозного диспансеру по вул.Веселинівська, 4 у с.Надбузьке Миколаївського району</t>
  </si>
  <si>
    <t>х</t>
  </si>
  <si>
    <t>П.А. Нуждов</t>
  </si>
  <si>
    <t>Ковальова 37 94 85</t>
  </si>
  <si>
    <t>150101
3122</t>
  </si>
  <si>
    <t>Реконструкція Миколаївської загальноосвітньої школи-інтернату № 3 І-ІІІ ступенів Миколаївської обласної ради по вул. 1 Слобідська, 74, м.Миколаїв (І черга) (в тому числі винотовлення проектно-кошторисної документації та проведення експертизи)</t>
  </si>
  <si>
    <t>Старофлотські казарми, м. Миколаїв - реконструкція під музейне містечко (друга черга)</t>
  </si>
  <si>
    <t>Капітальний ремонт покрівлі складських приміщень бази спецмедпостачання, розташованих по вул. Гагаріна, 21 у м.Миколаєві</t>
  </si>
  <si>
    <t>081002
3132</t>
  </si>
  <si>
    <t>Завершення робіт по об’єкту, а саме встановлення додаткової комірки з вакуумним вимикачем та проведення пусконалагоджувальних робіт.</t>
  </si>
  <si>
    <t>Начальник управління капітального будівництва облдержадміністрації</t>
  </si>
  <si>
    <t>070307
3132</t>
  </si>
  <si>
    <t>Встановлення електроопалювального, теплоакумулюючого обладнання та інші заходи для підвищення енергоефективності обласної бази спеціального медичного постачання у м.Миколаєві, пр. Героїв Сталінграда, буд. 7-А (реконструкція) (в тому числі коригування прое</t>
  </si>
  <si>
    <t>070701
3132</t>
  </si>
  <si>
    <t>Коригування проектно-кошторисної документації в цінах поточного року.</t>
  </si>
  <si>
    <t>070601
3132</t>
  </si>
  <si>
    <t>Санація будівлі Миколаївського базового медичного коледжу за адресою: вул. Космонавтів, 79/1 (Капітальний ремонт фасаду будівлі)</t>
  </si>
  <si>
    <t>В результаті проведення робіт з утеплення зовнішніх стін будівлі медичного коледжу, це дозволить заощадити витрати на обігрів приміщень в осінньо-зимовий період часу, поліпшити функціональні характеристики стін будівлі.</t>
  </si>
  <si>
    <t xml:space="preserve">Утеплення зовнішній стін будівлі, що дасть можливість економії бюджетних коштів на опаленні. </t>
  </si>
  <si>
    <t>Заміна конструкції веранд з цегляної кладки та дерев’яного остеклення на нові світлопрозорі зі склопакетів з ПВХ-профілю, заміна покриття даху, заміна дерев’яних вікон на склопакети з ПВХ-профілю та заміна внутрішніх інженерних мереж. Зовнішнє утеплення стін та утеплення горищного перекриття та влаштування санвузлу в приміщенні дасть можливість економії бюджетних коштів на експлуатаційні витрати, сприятиме збереженню фонду будівель та забезпечить належний рівень отримання освітніх послуг в загальноосвітніх навчальних закладах.</t>
  </si>
  <si>
    <t>Заміна шиферної покрівлі на нову, загальнобудівельні роботи по переобладнанню класу в санвузол, улаштування внутрішньої системи опалення, водопроводу та каналізації, монтаж водомірного вузла, утеплення фасаду, часткова заміна старих деревяних вікон на металопластикові забезпечить належний рівень отримання освітніх послуг в загальноосвітніх навчальних закладах.</t>
  </si>
  <si>
    <t>Завершення робіт Першого пускового комплексу:
Улаштування теплих підлог в приміщеннях дитячого відділення; систем холодного водопостачання та системи протипожежного водопроводу з автоматикою пожежних кранів в будівлях: головного (лікувального) корпусу,дитячого відділення, терапевтичного корпусу, хозблоку, операційного блоку, патологоанатомічного корпусу, хлораторної, прохідної тубдиспансеру.Улаштування споруд очищення води для господарсько-питних потреб потужністю 150 м3/добу, улаштування дизель-генераторів для котелень та будівлі с баками запасу води для безперебійної роботи котелень.
Другий пусковий комплекс:
 Заміна рулонних покрiвель в будівлях: головного (лікувального) корпусу, дитячого відділення, терапевтичного корпусу, господарского корпусу, операцiйного блоку.
 Виконання робіт з реконструкції м’яких покрівель корпусів диспансеру  дасть можливість економії бюджетних коштів на опаленні та забеспечення теплового режиму в приміщеннях диспансеру, безперебійна подача горячої води.</t>
  </si>
  <si>
    <t>Реставрація фасаду будівлі комунального закладу "Центр ФСМТ" по вул.Спаська, 29, м.Миколаїв (в т.ч. коригування проектно-кошторисної документації та проведення експертизи)</t>
  </si>
  <si>
    <t>Капітальний ремонт будівлі комунального закладу "Центр ФСМТ" по вул.Спаська, 29, м.Миколаїв (в т.ч. коригування проектно-кошторисної документації та проведення експертизи)</t>
  </si>
  <si>
    <t>Капітальний ремонт автономного опалення в будівлі Миколаївської обласної психолого-медико-педагогічної консультації по вул.Наваринська, 6, м. Миколаїв (в т.ч. виготовлення проектно-кошторисної документації та проведення експертизи)</t>
  </si>
  <si>
    <t>Реставрація фасаду будівлі обласного Будинку художньої  творчрсті по вул.Фалєєвська, 7 м.Миколаїв (в т.ч. коригування проектно-кошторисної документації та проведення експертизи)</t>
  </si>
  <si>
    <t>Реставрація фасаду Миколаївського художнього російського драматичного театру по вул. Адміральська, 27 у м.Миколаєві (в т.ч. виготовлення проектно-кошторисної документації та проведення експертизи)</t>
  </si>
  <si>
    <t>Залишок на 01.01.2017, тис.грн.</t>
  </si>
  <si>
    <t xml:space="preserve">ПЕРЕЛІК
об’єктів і заходів, які додатково пропонуються до фінансування за рахунок коштів бюджету розвитку обласного бюджету в 2017 році </t>
  </si>
  <si>
    <t>Пропозиції до фінансування на 2017 рік, тис.грн.</t>
  </si>
  <si>
    <t>Прибудова до будівлі навчального корпусу ліфтової шахти.Заміна дерев’яного перекриття навчального корпусу на залізобетонне, заміна покриття даху та утеплення горищного перекриття, заміна внутрішніх інженерних мереж спортивної зали, навчального та спального корпусів, заміна дерев’яних вікон і дверей на металопластикові, заміна підлоги та підсилення конструкцій стін спортивної зали. Перепланування приміщень в підвалі спального корпусу. Ремонт внутрішніх приміщень та зовнішнє утеплення стін дасть можливість економії бюджетних коштів на опаленні та забезпечить належний рівень надання послуг в загальноосвітніх навчальних закладах.
І черга - 11549,416 тис. грн. (залишок - 8497,375 тис. грн),
ІІ черга - 2285,681 тис. грн.,
ІІІ черга - 13784,983 тис. грн.</t>
  </si>
  <si>
    <t>Реконструкцію каналізаційної насосної станції Миколаївської спеціальнім загальноосвітньої школі-інтернату №6 ІІІ ступенів Миколаївської обласної ради по вул Рибна, 95</t>
  </si>
  <si>
    <t>Капітальний ремонт Миколаївської обласної комунальної комплексної дитячо-юнацької спортивної школи по вул.Лазурна, 18-В в м.Миколаєві</t>
  </si>
  <si>
    <t>Реконструкція обласного будинку дитини по вул. Бутоми, 7б, м. Миколаїв</t>
  </si>
  <si>
    <t>Капітальний ремонт Миколаївської обласної школи вищої спортивної майстерності по вул. Спортивна, 17 в м.Миколаєві</t>
  </si>
  <si>
    <t>Шевченківська загальноосвітня школа-інтернат I-II ступенів Миколаївської обласної ради, с. Шевченкове, Жовтневого району</t>
  </si>
  <si>
    <t xml:space="preserve">Капітальний ремонт та утеплення фасаду будівлі учбового корпусу Вищого училища Миколаївської обласної ради, по вул. Чигрина,41 м. Миколаєва </t>
  </si>
  <si>
    <t>Реконструкція спортивного залу, гаражів Вознесенської загальноосвітньої школи-інтернату I-Ш ступенів «Обдарованість» Миколаївської обласної ради по вул Леніна,20, м. Вознесенеьк</t>
  </si>
  <si>
    <t>Капітальний ремонт покрiвлi Миколаївської загальноосвітньої санаторної школи-інтернат I-III ступенiв №4 Миколаївської обласної ради по вул. Адмiральській,4Б в м.Миколаєві</t>
  </si>
  <si>
    <t>Відповідно до  рішення обласної ради від 22 жовтня 2010 року № 17 «Про надання згоди на безоплатну передачу майна зі спільної власності територіальних громад сіл, селищ, міст Миколаївської області у комунальну власність територіальної громади м.Миколаєва» каналізаційна насосна станція має бути передана у комунальну власність територіальної громади м.Миколаєва. Питання зволікається у зв'язку з незадовільним технічним станом станції. Реконтсрукція холодного та горячого водопостачання, системи опалення та вентиляції, придбання та монтаж пожежного, охоронного обладнання. Благоустрій території та улаштування дорожнього покриття</t>
  </si>
  <si>
    <t>Капітальний ремонт покрівлі адміністративно-лабораторного корпусу обласного центру з профілактики та боротьби зі СНІДом за адресою: м. Миколаїв, вул. Потьомкінська, 138-Б</t>
  </si>
  <si>
    <t>Капітальний ремонт покрівлі будівлі.</t>
  </si>
  <si>
    <t>Технічне переоснащення котельні з установкою електричних котлів АПВЕ-90 потужністю 4х90кВт Обласного омунального підприємства "Миколаївоблтеплоенерго" по вул. Знаменській, 2 у м.Миколаєві</t>
  </si>
  <si>
    <t>Покрівля учбового корпусу 1684 кв.м за давністю експлуатації та технічним станом дійшла аварійного стану (технічний звіт та припис Управління Держпраці у Миколаївській області в наявності).</t>
  </si>
  <si>
    <t>Ремонт даху, заміна дерев’яних вікон на склопакети з ПВХ-профілю та дверей на нові з ПВХ-профілю і металеві, утеплення стін, ремонт басейну, каналізації та туалету в сауні, ремонт адмінбудівлі, гаражів та котельні забезпечить поліпшення умов та енергозбереження приміщень, забезпечення санітарних умов.</t>
  </si>
  <si>
    <t xml:space="preserve">Реконструкція даху, вентиляції і утеплення будівель, заміні теплових мереж будинку, що дасть можливість економії бюджетних коштів на опаленні та забеспечення теплового режиму в приміщеннях.                                  </t>
  </si>
  <si>
    <t>Реконструкція лікувально-виробничих майстерень обласного протитуберкульозного диспансеру під розміщення боксованого відділення для хворих на хіміорезистентний туберкульоз, за адресою: Миколаївський район, с.Надбузьке, вул.Веселинівська, 4 (в тому числі коригування проектно-кошторисної документації та проведення експертизи)</t>
  </si>
  <si>
    <t>Капітальний ремонт приміщень Миколаївської обласної дитячо-юнацької спортивної школи "Обласний шахово-шашковий клуб" імені М.В.Шелеста</t>
  </si>
  <si>
    <t>Реконструкція будівлі Дорошівської загальноосвітньої школи  І-ІІІ ступенів для розміщення навчально-допоміжних приміщень по вул.Свірьопкіна, 113, с.Дорошівка, Вознесенського району Миколаївської області (в тому числі коригування проектно-кошторисної документації та проведення експертизи)</t>
  </si>
  <si>
    <t>080201
3132</t>
  </si>
  <si>
    <t>Нове будівництво спортивних майданчиків Миколаївської обласної школи вищої спортивної майсткерності по вул. Спортивна, 17 в м. Миколаєві</t>
  </si>
  <si>
    <t>150119
3122</t>
  </si>
  <si>
    <t>Будівництво спального корпусу Миколаївської спеціальної загальноосвітньої школи-інтернату №3 Миколаївської обласної ради по вул.Котельня,117 в м.Миколаєві (в т.ч. виготовлення проектно-кошторисної документації та проведення експертизи)</t>
  </si>
  <si>
    <t>Будівництво спортивних майданчиків:
І черрга будівництва - 15148,060 тис. грн. - два універсальних майданчика;
ІІ черрга будівництва - 6833,854 тис. грн. - два волейбольних майданчика.
Втілення проекту поліпшить умови фізичного виховання молоді; дозволить втілити в життя сучасні інновації, які змінюють структуру, методи, форми і технології фізичного виховання, проведення змагань та чемпіонатів.</t>
  </si>
  <si>
    <t>Реконструкція блоку молодших класів Миколаївської загальноосвітньої санаторної школи-інтернат I-III ступенiв №4 Миколаївської обласної ради по вул. Адмiральській,4Б в м.Миколаєві  (в тому числі виготовлення проектно-кошторисної документації та проведення експертизи)</t>
  </si>
  <si>
    <t>Новопетрівська спеціальна загальноосвітня школа-інтернат Миколаївської обласної ради, с. Новопетрівка Снігурівського району, – реконструкція системи опалення (в тому числі виготовлення проектно-кошторисної документації)</t>
  </si>
  <si>
    <t xml:space="preserve">Реконструкція котельні Володимирівської загальноосвітньої школи-інтернату І-ІІ ступенів Миколаївської обласної ради </t>
  </si>
  <si>
    <t>070201
3132</t>
  </si>
  <si>
    <t>Реконструкція котельні комунального закладу «Загальноосвітня школа-інтернат І-ІІІ ступенів – центр загальної та профільної освіти та комплексної реабілітації (в тому числі виготовлення проектно-кошторисної документації)</t>
  </si>
  <si>
    <t>Антонівська загальноосвітня школа-інтернат I-III ступенів Миколаївської обласної ради – реконструкція котельні з модернізацією обладнання, с. Антонівка, Новоодеського району (в тому числі виготовлення проектно-кошторисної документації)</t>
  </si>
  <si>
    <t>Очаківська загальноосвітня санаторна  школа-інтернат I-III ступенів Миколаївської обласної ради – реконструкція покрівлі спальних корпусів (в тому числі виготовлення проектно-кошторисної документації)</t>
  </si>
  <si>
    <t>Шевченківська загальноосвітня школа-інтерант Миколаївської обласної ради, с. Шевченково, Жовтневого району – реконструкція покрівлі спальних корпусів (в тому числі виготовлення проектно-кошторисної документації)</t>
  </si>
  <si>
    <t>Привільнянська спеціальна загальноосвітня школа-інтернат Миколаївської обласної ради, с. Привільне Баштанського району – капітальний ремонт спального корпусу з санацією будівлі (в тому числі виготовлення проектно-кошторисної документації)</t>
  </si>
  <si>
    <t>Лисогірська спеціальна загальноосвітня школа-інтернат Миколаївської обласної ради, с. Лиса Гора Первомайського району – капітальний ремонт спального корпусу з санацією будівлі (в тому числі виготовлення проектно-кошторисної документації)</t>
  </si>
  <si>
    <t>Капітальний ремонт покрівлі та заміна перекриття спального корпусу хлопчиків та столярних майстерень Вознесенської спеціальної загальноосвітньої школи-інтернату Миколаївської обласної ради, по вул Пушкінській,30 м. Вознесенськ  (в тому числі виготовлення проектно-кошторисної документації)</t>
  </si>
  <si>
    <t>Капітальний ремонт лазніі комунального закладу «Березківський навчально-виховний комплекс «Загальноосвітня школа-інтернат- ліцей І-ІІІ ступенів» Миколаївської обласної ради по вул. Ковальського, 10 в с.Берізки Кривоозерського району Миколаївської області (в тому числі виготовлення проектно-кошторисної документації)</t>
  </si>
  <si>
    <t>Реконструкція будівлі учбового корпусу комунального закладу «Березківський навчально-виховний комплекс «Загальноосвітня школа-інтернат- ліцей І-ІІІ ступенів» Миколаївської обласної ради по вул. Ковальського, 10 в с.Берізки Кривоозерського району Миколаївської області (в тому числі виготовлення проектно-кошторисної документації)</t>
  </si>
  <si>
    <t xml:space="preserve">Володимирівська загальноосвітня школа-інтернат Миколаївської обласної ради- капітальний ремонт спортивного залу </t>
  </si>
  <si>
    <t>Капітальний ремонт  Баратівського психоневрологічного інтернату по вул.Степовій, 1 в с. Баратівка Новобузького району Миколаївської області (теплосанація будівлі) (в т.ч. коригування ПКД та проведення експертизи)</t>
  </si>
  <si>
    <t>Капітальний ремонт котельні із заміною опалювальних котлів Горожанського психоневрологічного інтернату (у тому числі виготовлення проектно-кошторисної документації та проведення експертизи)</t>
  </si>
  <si>
    <t>Капітальний ремонт приміщення харчоблоку Горожанського психоневрологічного інтернату (у тому числі виготовлення проектно-кошторисної документації та проведення експертизи)</t>
  </si>
  <si>
    <t>Капітальний ремонт будівлі пральні-лазні Баратівського психоневрологічного інтернату (у тому числі виготовлення проектно-кошторисної документації та проведення експертизи)</t>
  </si>
  <si>
    <t>Капітальний ремонт пральні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</si>
  <si>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підлоги та стелі кухні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</si>
  <si>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приміщення харчоблоку Первомайського психоневрологічного інтернату  (у тому числі виготовлення проектно-кошторисної документації та проведення експертизи)</t>
  </si>
  <si>
    <t>Капітальний ремонт санвузлів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</si>
  <si>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лазні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</si>
  <si>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будівлі за адресою м.Миколаїв, вул.Коларова,5 Миколаївський обласний центр обліку бездомних громадян (у тому числі виготовлення проектно-кошторисної документації та проведення експертизи)</t>
  </si>
  <si>
    <t>Реконструкція будівлі Миколаївського геріатричного пансіонату по вул. Казарського,4 в м. Миколаєві (у тому числі виготовлення проектно-кошторисної документації та проведення експертизи)</t>
  </si>
  <si>
    <t>Реконструкція з утепленням зовнішніх стін будівель Баштанського психоневрологічного інтернату в с.Лоцкіне, Баштанського району, Миколаївської області. Корпус №1 (у тому числі виготовлення проектно-кошторисної документації та проведення експертизи)</t>
  </si>
  <si>
    <t>Реконструкція з утепленням зовнішніх стін будівель Баштанського психоневрологічного інтернату в с.Лоцкіне, Баштанського району, Миколаївської області. Корпус №2 (у тому числі виготовлення проектно-кошторисної документації та проведення експертизи)</t>
  </si>
  <si>
    <t>Капітальний ремонт газової модульної котельні Миколаївського академічного українського театру драми та музичної комедії м. Миколаїв вул.Дунаева, 59 (в т.ч. виготовлення проектно-кошторисної документації та проведення експертизи)</t>
  </si>
  <si>
    <t>070601
3131</t>
  </si>
  <si>
    <t>Капітальний ремонт гуртожитку Миколаївського коледжу культури і мистецтва по пр.Миру.16 м. Миколаєва  (в т.ч. виготовлення проектно-кошторисної документації та проведення експертизи)</t>
  </si>
  <si>
    <t>Капітальний ремонт покрівлі навчального корпусу Миколаївського коледжу культури і мистецтва м.Миколаїв. вул. Фалеєвська. 5  (в т.ч. виготовлення проектно-кошторисної документації та проведення експертизи)</t>
  </si>
  <si>
    <t>Санація будівлі комунального закладу культури "Обласний палац культури" за адресою пл. Суднобудівників, 3 в м.Миколаїв (капітальний ремонт) (в т.ч. коригування проектно-кошторисної документації та проведення експертизи)</t>
  </si>
  <si>
    <t>Капітальний ремонт приміщень комунального закладу культури "Обласний палац культури" за адресою пл. Суднобудівників, 3 в м.Миколаїв (капітальний ремонт) (в т.ч. виготовлення проектно-кошторисної документації та проведення експертизи)</t>
  </si>
  <si>
    <t>Капітальний ремонт фонтану комунального закладу культури "Обласний палац культури" за адресою пл. Суднобудівників, 3 в м.Миколаїв (капітальний ремонт) (в т.ч. виготовлення проектно-кошторисної документації та проведення експертизи)</t>
  </si>
  <si>
    <t>110202
3132</t>
  </si>
  <si>
    <t>Реконструкція територіально-виділеного відділу Миколаївського обласного краєзнавчого музею Очаківський військово-історичний музей ім. О.В.Суворова- прибудова діорами (в т.ч. коригування проектно-кошторисної документації та проведення експертизи)</t>
  </si>
  <si>
    <t>Капітальний ремонт Первомайського краєзнавчого музею м. Первомайськ, вул.Дзержинського,10 (в тому числі виготовлення проектно-кошторисної документації та проведення експертизи)</t>
  </si>
  <si>
    <t>110201
3132</t>
  </si>
  <si>
    <t xml:space="preserve">Виготовлення проектно-кошторисної документації </t>
  </si>
  <si>
    <t>Капітальний ремонт приміщень Миколаївської  обласної універсальної наукової бібліотеки ім. О.Гмирьова  м.Миколаїв, вул Московська, 9 (в тому числі виготовлення проектно-кошторисної документації та проведення експертизи)</t>
  </si>
  <si>
    <t>Капітальний ремонт будівлі Миколаївської обласної бібліотеки для дітей імені В.Лягінам, м. Миколаїв, вул Спаська 66  (в т.ч. виготовлення проектно-кошторисної документації та проведення експертизи)</t>
  </si>
  <si>
    <t>Будівництво котельні Миколаївської обласної бібліотеки для дітей імені В.Лягінам, м. Миколаїв, вул Спаська 66  (в т.ч. виготовлення проектно-кошторисної документації та проведення експертизи)</t>
  </si>
  <si>
    <t>Капітальний ремонт системи опалення Миколаївського обласного театру ляльок по вул. Потьомкінська, 53, в м. Миколаєві</t>
  </si>
  <si>
    <t>080206
3132</t>
  </si>
  <si>
    <t>Реконструкція приміщень  для розміщення інженерно-технічної служби в господарчому корпусі Миколаївської обласної лікарні по вул.Київській, 1 в м.Миколаєві</t>
  </si>
  <si>
    <t>Капітальний ремонт корпусу консультативно-діагностичної поліклініки Миколаївської обласної лікарні по вул.Київській, 1 в м.Миколаєві (в т.ч. коригування проектно-кошторисної документації та проведення експертизи)</t>
  </si>
  <si>
    <t>Реконструкція радіологічного блоку Миколаївського обласного онкологічного диспансеру (в т.ч. виготовлення проектно-кошторисної документації та проведення експертизи)</t>
  </si>
  <si>
    <t>Капітальний ремонт покрівлі Миколаївської обласної психiатричної лiкарні № 1, по вул. Володарського, 4, м. Миколаїв (в т.ч. виготовлення проектно-кошторисної документації та проведення експертизи)</t>
  </si>
  <si>
    <t>Реконструкція покрівлі будівлі клініко-токсикологічної діагностичної лабораторії по вул. 2-а Екіпажна, 4Б в м.Миколаєві</t>
  </si>
  <si>
    <t>Реконсутркція системи опалення з встановленням вузла обліку тепла 1-го відділення Миколаївського обласного наркологічного диспансера по вул. 2-а Екіпажна, 4Б в м.Миколаєві</t>
  </si>
  <si>
    <t>080704
3132</t>
  </si>
  <si>
    <t>Капітальний ремонт покрівлі будівлі Миколаївського обласного центру здоров’я  по вул.Адміральська, 35, м. Миколаїв (у тому числі виготовлення проектно-кошторисної документації та проведення експертизи)</t>
  </si>
  <si>
    <t>Реставрація головного корпусу обласної лікарні відновного лікування по вул.В.Морська, 27 у м. Миколаєві - виконання протиаварійних робіт підвальних приміщень залу гідропатії</t>
  </si>
  <si>
    <t>У зв’язку зі збільшенням кількості хворих з вертеброгенною патологією та необхідністю витягування хребта басейн гідропатії потребує капітального ремонту (протиаварійниі роботи підвального приміщення залу гідропатії).</t>
  </si>
  <si>
    <t>Капітальний ремонт 1 інфекційного відділення Миколаївської обласної дитячої інфекційної лікарні м. Миколаїв, вул. 9 Поздовжня 10-А  (в т.ч. виготовлення проектно-кошторисної документації та проведення експертизи)</t>
  </si>
  <si>
    <t>Капітальний ремонт відділення анестезіології і реанімації Миколаївської обласної дитячої інфекційної лікарні м. Миколаїв, вул. 9 Поздовжня 10-А  (в т.ч. виготовлення проектно-кошторисної документації та проведення експертизи)</t>
  </si>
  <si>
    <t>Капітальний ремонт  Миколаївської обласної дитячої інфекційної лікарні м. Миколаїв, вул. 9 Поздовжня 10-А (термосанація фасада) (в т.ч. виготовлення проектно-кошторисної документації та проведення експертизи)</t>
  </si>
  <si>
    <t>Реконструкція будівлі котельної обласної дитячої лікарні по вул.Миколаївській, 21 в м. Миколаєві під функціональні приміщення з надбудовою 2-го поверху (у тому числі коригуванняння проектно-кошторисної документації)</t>
  </si>
  <si>
    <t>Реконструкція будівлі Миколаївського обласного бюро судово-медичної експертизи по вул.Потьомкінська,138, м.Миколаїв (в т.ч. виготовлення проектно-кошторисної документації та проведення експертизи)</t>
  </si>
  <si>
    <t>Капітальний ремонт неонатального відділення Миколаївської обласної дитячої лікарні по вул. Миколаївська, 21, м.Миколаїв (в т.ч. виготовлення проектно-кошторисної документації та проведення експертизи)</t>
  </si>
  <si>
    <t>Реконструкція приміщення дезінфекційної камери Миколаївського обласного госпіталю ветеранів війни по  вул. Київська, 1, м.Миколаїв</t>
  </si>
  <si>
    <t>Реконструкція вузла обліку природного газу в  Миколаївському обласному госпіталі ветеранів війни по  вул. Київська, 1, м.Миколаїв</t>
  </si>
  <si>
    <r>
      <rPr>
        <b/>
        <sz val="12"/>
        <rFont val="Times New Roman"/>
        <family val="1"/>
      </rPr>
      <t xml:space="preserve">Коригування проектно-кошторисної документації </t>
    </r>
    <r>
      <rPr>
        <sz val="12"/>
        <rFont val="Times New Roman"/>
        <family val="1"/>
      </rPr>
      <t>в цінах поточного року. Улаштування електроопалювального теплоакумулюючого обладнання для підвищення енергоефективності обласної бази медичної поставки, монтаж електрообладнання, улаштуваннямережі електрозабезпечення.</t>
    </r>
  </si>
  <si>
    <r>
      <rPr>
        <b/>
        <sz val="12"/>
        <rFont val="Times New Roman"/>
        <family val="1"/>
      </rPr>
      <t>Виготовлення проектно-кошторисної документаці</t>
    </r>
    <r>
      <rPr>
        <sz val="12"/>
        <rFont val="Times New Roman"/>
        <family val="1"/>
      </rPr>
      <t>ї для виконання робіт з реконструкції будівлі.
Незадовідьний технічний стан будівлі пансіонату.</t>
    </r>
  </si>
  <si>
    <r>
      <rPr>
        <b/>
        <sz val="12"/>
        <rFont val="Times New Roman"/>
        <family val="1"/>
      </rPr>
      <t>Виготовлення проектно-кошторисної документації</t>
    </r>
    <r>
      <rPr>
        <sz val="12"/>
        <rFont val="Times New Roman"/>
        <family val="1"/>
      </rPr>
      <t xml:space="preserve"> для виконання робіт з теплосанації будівлі інтернату з метою енергозбереження та зменшення обсягу споживання енергоносіїв.</t>
    </r>
  </si>
  <si>
    <r>
      <rPr>
        <b/>
        <sz val="12"/>
        <rFont val="Times New Roman"/>
        <family val="1"/>
      </rPr>
      <t>Коригування проектно-кошторисної документації для завершення робіт</t>
    </r>
    <r>
      <rPr>
        <sz val="12"/>
        <rFont val="Times New Roman"/>
        <family val="1"/>
      </rPr>
      <t xml:space="preserve"> з внутрішнього охдоблення приміщень шокли та введення об’єкта в експлуатацію..</t>
    </r>
  </si>
  <si>
    <r>
      <t xml:space="preserve">Будівля перебуває у технічно-незадовільному стані. На стінах вертикальні щілини шириною розкриття до 5-7 см. 
</t>
    </r>
    <r>
      <rPr>
        <b/>
        <sz val="12"/>
        <rFont val="Times New Roman"/>
        <family val="1"/>
      </rPr>
      <t>Проектно-кошторисна документація в стадії розроблення департаментом освіти.</t>
    </r>
  </si>
  <si>
    <r>
      <t xml:space="preserve">У зв'язку з реконструкцією майстерень під їдальню роздягальні спортивного залу було включено до приміщень харчоблоку. Наразі потребує реконструкції спортзал. Шкільний гараж дійшов аварійного стану.
</t>
    </r>
    <r>
      <rPr>
        <b/>
        <sz val="12"/>
        <rFont val="Times New Roman"/>
        <family val="1"/>
      </rPr>
      <t>Проектно-кошторисна документація в стадії розроблення УКБ.</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</si>
  <si>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системи опалення.
Котельна знаходиться в підвальному приміщенні, що суперечить ДБН.  
Існуюча котельня розташована в підвальному приміщенні учбового корпусу. Димова труба у технічно-незадовільному стані, заміна котлів не проводилась у продовж 15 років.</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</si>
  <si>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системи опалення. 
Заходи по скороченню та заміщенню споживання природного газу на об'єктах соціальної сфери.</t>
    </r>
  </si>
  <si>
    <r>
      <rPr>
        <b/>
        <sz val="12"/>
        <rFont val="Times New Roman"/>
        <family val="1"/>
      </rPr>
      <t xml:space="preserve">Виготовлення проектно-кошторисної документації </t>
    </r>
    <r>
      <rPr>
        <sz val="12"/>
        <rFont val="Times New Roman"/>
        <family val="1"/>
      </rPr>
      <t>для виконання робіт з реконструкції.
Впровадження проекту надасть можливість забезпечити належні санітарно-гігієнічні умови для вихованців школи-інтернату.</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</si>
  <si>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Впровадження проекту надасть можливість забезпечити належні санітарно-гігієнічні умови для вихованців школи-інтернату.</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</si>
  <si>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будівлі.</t>
    </r>
  </si>
  <si>
    <r>
      <rPr>
        <b/>
        <sz val="12"/>
        <rFont val="Times New Roman"/>
        <family val="1"/>
      </rPr>
      <t>Коригування проектно-кршторисної документації.</t>
    </r>
    <r>
      <rPr>
        <sz val="12"/>
        <rFont val="Times New Roman"/>
        <family val="1"/>
      </rPr>
      <t xml:space="preserve">
Реконструкція корпусу боксованого відділення для хворих  на хіміорезистентний туберкульоз, а саме: загальнобудівельні роботи по корпусу, улаштування системи вентиляції, внутрішнього водопроводу, каналізації, системи опалення, електроосвітлення, електрообладнання, автоматичної пожежної сигналізації, сигналізації загазованості,  блискавкозахисту.  Придбання обладнання автоматизації, автоматичної пожежної сигналізації, сигналізації загазованності. Улаштування внутрішньомайданчикових мереж  0,4 кВ, дообладнання трансформаторної підстанції, винос зовнішньої мережі  10 кВ. Улаштування зовнішніх мереж водозабезпечення, каналізації. Будівництво модульної котельні та зовнішніх мереж газопостачання. Улаштування прогулочного майданчика для спецконтингенту.Улаштування тротуарів, озеленення та зовнішнього освітлення.</t>
    </r>
  </si>
  <si>
    <r>
      <rPr>
        <b/>
        <sz val="12"/>
        <rFont val="Times New Roman"/>
        <family val="1"/>
      </rPr>
      <t>Виготовлення проектно-кошторисної документації для виконання робіт з будівництва.</t>
    </r>
    <r>
      <rPr>
        <sz val="12"/>
        <rFont val="Times New Roman"/>
        <family val="1"/>
      </rPr>
      <t xml:space="preserve">
Існуючий спальний корпус розташований на значній відстані від учбового корпусу та їдальні закладу, що створює незручності для дітей. Склад та площа приміщень не відповідають Державним нормам і правилам "Гігієнічні вимоги до улаштування, утримання, режиму спеціальних загальноосвітніх шкіл-інтернатів для дітей, які потребують корекції ффізичного та (або) розкмового розвитку та навчально-реабілітаційних центрів", затвердженим наказом Міністерства охорони здоров’я України від 02.02.2013 №144. </t>
    </r>
  </si>
  <si>
    <r>
      <rPr>
        <b/>
        <sz val="12"/>
        <rFont val="Times New Roman"/>
        <family val="1"/>
      </rPr>
      <t>Проектно-кошторисної документація без експертизи.</t>
    </r>
    <r>
      <rPr>
        <sz val="12"/>
        <rFont val="Times New Roman"/>
        <family val="1"/>
      </rPr>
      <t xml:space="preserve">
Невідповідність приміщень до санітарних норм. Необхідно поліпшити технічний стан лікарні</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</si>
  <si>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Будівля в аварійному стані.</t>
    </r>
  </si>
  <si>
    <r>
      <rPr>
        <b/>
        <sz val="12"/>
        <rFont val="Times New Roman"/>
        <family val="1"/>
      </rPr>
      <t>Проектно-кошторисної документація без експертизи.</t>
    </r>
    <r>
      <rPr>
        <sz val="12"/>
        <rFont val="Times New Roman"/>
        <family val="1"/>
      </rPr>
      <t xml:space="preserve">
Система опалдення потребує реконструкції, дуже стара. Для виконання енергозберігаючих заходів.</t>
    </r>
  </si>
  <si>
    <r>
      <rPr>
        <b/>
        <sz val="12"/>
        <rFont val="Times New Roman"/>
        <family val="1"/>
      </rPr>
      <t>Проектно-кошторисної документація без експертизи.</t>
    </r>
    <r>
      <rPr>
        <sz val="12"/>
        <rFont val="Times New Roman"/>
        <family val="1"/>
      </rPr>
      <t xml:space="preserve">
В зв’язку з довгостроковою експлуатацію матеріал покрівлі має численні порушення цілісності (тріщини, сколи), в результаті затікання дерев’яні консутркції пошкодження гнилістю стропільні ноги мають значні просадки.</t>
    </r>
  </si>
  <si>
    <r>
      <rPr>
        <b/>
        <sz val="12"/>
        <rFont val="Times New Roman"/>
        <family val="1"/>
      </rPr>
      <t xml:space="preserve">Виготовлення проектно-кошторисної документації </t>
    </r>
    <r>
      <rPr>
        <sz val="12"/>
        <rFont val="Times New Roman"/>
        <family val="1"/>
      </rPr>
      <t xml:space="preserve">
Просадка будівлі з відходженням зовнішньої стіни. Для можливості реконструкції будівлі бюро провести інженерно-геодезичні роботи, інженерно-геологічні роботи, технічне обстеження необхідно провести.</t>
    </r>
  </si>
  <si>
    <t>Проектно-кошторисна документація в стадії розроблення.</t>
  </si>
  <si>
    <r>
      <rPr>
        <b/>
        <sz val="12"/>
        <rFont val="Times New Roman"/>
        <family val="1"/>
      </rPr>
      <t>Виготовлення проектно-кошторисної документації</t>
    </r>
    <r>
      <rPr>
        <sz val="12"/>
        <rFont val="Times New Roman"/>
        <family val="1"/>
      </rPr>
      <t xml:space="preserve"> для виконання робіт з реставрації фасаду будівлі.</t>
    </r>
  </si>
  <si>
    <r>
      <rPr>
        <b/>
        <sz val="12"/>
        <rFont val="Times New Roman"/>
        <family val="1"/>
      </rPr>
      <t xml:space="preserve">Виготовлення проектно-кошторисної документації </t>
    </r>
    <r>
      <rPr>
        <sz val="12"/>
        <rFont val="Times New Roman"/>
        <family val="1"/>
      </rPr>
      <t>для виконання робіт з реставрації фасаду будівлі.</t>
    </r>
  </si>
  <si>
    <r>
      <rPr>
        <b/>
        <sz val="12"/>
        <rFont val="Times New Roman"/>
        <family val="1"/>
      </rPr>
      <t>Виготовлення проектно-кошторисної документації</t>
    </r>
    <r>
      <rPr>
        <sz val="12"/>
        <rFont val="Times New Roman"/>
        <family val="1"/>
      </rPr>
      <t xml:space="preserve"> для виконання робіт:
- реставрація фасаду;
- ремонт покрівлі;
- заміна труб каналізації</t>
    </r>
  </si>
  <si>
    <t>Виготовлення проектно-кошторисної документації</t>
  </si>
  <si>
    <t>Технічне переоснащення топкової обласної бібліотеки дл юнацтва м.Миколаїв, вул Велика Морська, 92 (в тому числі виготовлення проектно-кошторисної документації та проведення експертизи)</t>
  </si>
  <si>
    <t>Реконструкція прибудови (з установкою пандуса) обласної бібліотеки дл юнацтва м.Миколаїв, вул Велика Морська, 92 (в тому числі виготовлення проектно-кошторисної документації та проведення експертизи)</t>
  </si>
  <si>
    <r>
      <rPr>
        <b/>
        <sz val="12"/>
        <rFont val="Times New Roman"/>
        <family val="1"/>
      </rPr>
      <t>Виготовлення проектно-кошторисної документації.</t>
    </r>
    <r>
      <rPr>
        <sz val="12"/>
        <rFont val="Times New Roman"/>
        <family val="1"/>
      </rPr>
      <t xml:space="preserve">
Додаткове встановлення котла в топковій з встановленням сигналізації загазованості.</t>
    </r>
  </si>
  <si>
    <r>
      <rPr>
        <b/>
        <sz val="12"/>
        <rFont val="Times New Roman"/>
        <family val="1"/>
      </rPr>
      <t>Коригування проектно-кошторисної документаці</t>
    </r>
    <r>
      <rPr>
        <sz val="12"/>
        <rFont val="Times New Roman"/>
        <family val="1"/>
      </rPr>
      <t>ї для виконання робіт з реставрації фасаду будівлі.</t>
    </r>
  </si>
  <si>
    <t>150201
3122</t>
  </si>
  <si>
    <r>
      <t xml:space="preserve">Виготовлення проектно-кошторисної документації </t>
    </r>
    <r>
      <rPr>
        <sz val="12"/>
        <rFont val="Times New Roman"/>
        <family val="1"/>
      </rPr>
      <t>для виконання робіт з будівництва котельні.</t>
    </r>
  </si>
  <si>
    <r>
      <rPr>
        <b/>
        <sz val="12"/>
        <rFont val="Times New Roman"/>
        <family val="1"/>
      </rPr>
      <t>Виготовлення проектно-кошторисної документації</t>
    </r>
    <r>
      <rPr>
        <sz val="12"/>
        <rFont val="Times New Roman"/>
        <family val="1"/>
      </rPr>
      <t xml:space="preserve"> для виконання робіт з впровадження енергозберігаючих технологій з метою економного використання бюджетних коштів</t>
    </r>
  </si>
  <si>
    <r>
      <rPr>
        <b/>
        <sz val="12"/>
        <rFont val="Times New Roman"/>
        <family val="1"/>
      </rPr>
      <t>Виготовлення проектно-кошторисної документації</t>
    </r>
    <r>
      <rPr>
        <sz val="12"/>
        <rFont val="Times New Roman"/>
        <family val="1"/>
      </rPr>
      <t xml:space="preserve"> для виконання робіт з впровадження енергозберігаючих технологій з метою економного використання бюджетних коштів.
За давністю експлуатації з мурування стін вивітрюється розчин, що негативно впливає на дотриманні температурного режиму в спальних приміщеннях.</t>
    </r>
  </si>
  <si>
    <r>
      <rPr>
        <b/>
        <sz val="12"/>
        <rFont val="Times New Roman"/>
        <family val="1"/>
      </rPr>
      <t>Виготовлення проектно-кошторисної документації</t>
    </r>
    <r>
      <rPr>
        <sz val="12"/>
        <rFont val="Times New Roman"/>
        <family val="1"/>
      </rPr>
      <t xml:space="preserve"> для виконання робіт з капітального ремонту покрівлі.
За приписом Державної інспекції навчальних закладів України.</t>
    </r>
  </si>
  <si>
    <r>
      <rPr>
        <b/>
        <sz val="12"/>
        <rFont val="Times New Roman"/>
        <family val="1"/>
      </rPr>
      <t xml:space="preserve">Виготовлення проектно-кошторисної документації </t>
    </r>
    <r>
      <rPr>
        <sz val="12"/>
        <rFont val="Times New Roman"/>
        <family val="1"/>
      </rPr>
      <t>для виконання робіт з капітального ремонту покрівлі.
Відповідно до технічного звіту конструкції перебувають у технічно - незадовільному стані.</t>
    </r>
  </si>
  <si>
    <r>
      <rPr>
        <b/>
        <sz val="12"/>
        <rFont val="Times New Roman"/>
        <family val="1"/>
      </rPr>
      <t xml:space="preserve">Виготовлення проектно-кошторисної документації </t>
    </r>
    <r>
      <rPr>
        <sz val="12"/>
        <rFont val="Times New Roman"/>
        <family val="1"/>
      </rPr>
      <t>для виконання робіт з капітального ремонту спортивного залу.
Впровадження проекту надасть можливість забезпечити належні санітарно-гігієнічні умови для вихованців школи-інтернату.</t>
    </r>
  </si>
  <si>
    <t>В навчальному корпусі відсутні внутрішні туалети. Відповідно до санітарних норм і правил заклад повинен бути облаштований  внутрішніми санітарними вузлами.
Завершення робіт.</t>
  </si>
  <si>
    <r>
      <t xml:space="preserve">Фасад будівлі перебуває в жахливому стані. На стінах маються щілини, відшарування штукатурки. 
</t>
    </r>
    <r>
      <rPr>
        <b/>
        <sz val="12"/>
        <rFont val="Times New Roman"/>
        <family val="1"/>
      </rPr>
      <t>Проектно-кошторисна документація в стадії розроблення УКБ.</t>
    </r>
  </si>
  <si>
    <r>
      <t xml:space="preserve">Виготовлення проектно-кошторисної документації </t>
    </r>
    <r>
      <rPr>
        <b/>
        <sz val="12"/>
        <rFont val="Times New Roman"/>
        <family val="1"/>
      </rPr>
      <t>(залишок ПКД та експертиза -143,219 тис. грн.</t>
    </r>
    <r>
      <rPr>
        <sz val="12"/>
        <rFont val="Times New Roman"/>
        <family val="1"/>
      </rPr>
      <t xml:space="preserve">) для виконання робіт:
- внутрішні оздоблювальні роботи;
- ремонт покрівлі;
- ремонт внутрішніх мереж водопостачання, теплопостачання та каналізації;
- заміна електропроводки
</t>
    </r>
    <r>
      <rPr>
        <b/>
        <sz val="12"/>
        <rFont val="Times New Roman"/>
        <family val="1"/>
      </rPr>
      <t>Проектно-кошторисна документація в стадії розроблення УКБ.</t>
    </r>
  </si>
  <si>
    <r>
      <rPr>
        <b/>
        <sz val="12"/>
        <rFont val="Times New Roman"/>
        <family val="1"/>
      </rPr>
      <t xml:space="preserve">Виготовлення проектно-кошторисної документації </t>
    </r>
    <r>
      <rPr>
        <sz val="12"/>
        <rFont val="Times New Roman"/>
        <family val="1"/>
      </rPr>
      <t xml:space="preserve">та виконаня робіт з заміни мережі теплопостачання дасть можливість забеспечення теплового режиму в приміщеннях.                                  </t>
    </r>
  </si>
  <si>
    <r>
      <rPr>
        <b/>
        <sz val="12"/>
        <rFont val="Times New Roman"/>
        <family val="1"/>
      </rPr>
      <t>Виготовлення проектно-кошторисної документації</t>
    </r>
    <r>
      <rPr>
        <sz val="12"/>
        <rFont val="Times New Roman"/>
        <family val="1"/>
      </rPr>
      <t xml:space="preserve"> для виконання робіт по ремонту будівлі:
- ремонт покрівлі;
- заміна каналізації;
- заміна віконних заповнень.</t>
    </r>
  </si>
  <si>
    <r>
      <rPr>
        <b/>
        <sz val="12"/>
        <rFont val="Times New Roman"/>
        <family val="1"/>
      </rPr>
      <t>Виготовлення проектно-кошторисної документації</t>
    </r>
    <r>
      <rPr>
        <sz val="12"/>
        <rFont val="Times New Roman"/>
        <family val="1"/>
      </rPr>
      <t xml:space="preserve"> та виконаня робіт з ремонту покрівлі будівлі та заміни дерев’яних віког га металопластикові, що сприятиме збереженню фонду будівлі закладу та енергозбереженню.</t>
    </r>
  </si>
  <si>
    <r>
      <rPr>
        <b/>
        <sz val="12"/>
        <rFont val="Times New Roman"/>
        <family val="1"/>
      </rPr>
      <t>Коригування проектно-кошторисної документації</t>
    </r>
    <r>
      <rPr>
        <sz val="12"/>
        <rFont val="Times New Roman"/>
        <family val="1"/>
      </rPr>
      <t xml:space="preserve"> та виконання робіт з капітального ремонту.
Невідповідність приміщень до санітарних норм. Необхідно поліпшити технічний стан лікарні, умови перебування хворих та підвищити енергозбереження</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</si>
  <si>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капітального ремонту покрівлі.
Забезпечення безпечної експлуатації приміщень.</t>
    </r>
  </si>
  <si>
    <r>
      <rPr>
        <b/>
        <sz val="12"/>
        <rFont val="Times New Roman"/>
        <family val="1"/>
      </rPr>
      <t>Виготовлення проектно-кошторисної документації</t>
    </r>
    <r>
      <rPr>
        <sz val="12"/>
        <rFont val="Times New Roman"/>
        <family val="1"/>
      </rPr>
      <t xml:space="preserve">
Капітальний ремонт не проводився 30 років в зазначеному підрозділі, що порушує санітарні вимоги до інфекційних стаціонарів</t>
    </r>
  </si>
  <si>
    <r>
      <rPr>
        <b/>
        <sz val="12"/>
        <rFont val="Times New Roman"/>
        <family val="1"/>
      </rPr>
      <t>Виготовлення проектно-кошторисної документації</t>
    </r>
    <r>
      <rPr>
        <sz val="12"/>
        <rFont val="Times New Roman"/>
        <family val="1"/>
      </rPr>
      <t xml:space="preserve"> для проведення капітального ремонту відділення</t>
    </r>
  </si>
  <si>
    <t>Будівля знаходиться в аварійному стані. Для уникнення аварійно-небезпечних ситуацій, які можуть загрожувати життю дітей та працівників санаторію.</t>
  </si>
  <si>
    <t xml:space="preserve">Капітальний ремонт школи Миколаївського обласного дитячого кардіоревматологічного санаторію "Південний" </t>
  </si>
  <si>
    <r>
      <rPr>
        <b/>
        <sz val="12"/>
        <rFont val="Times New Roman"/>
        <family val="1"/>
      </rPr>
      <t xml:space="preserve">Виготовлення проектно-кошторисної документації </t>
    </r>
    <r>
      <rPr>
        <sz val="12"/>
        <rFont val="Times New Roman"/>
        <family val="1"/>
      </rPr>
      <t xml:space="preserve">
Аварійний стан покрівлі будівлі</t>
    </r>
  </si>
  <si>
    <r>
      <rPr>
        <b/>
        <sz val="12"/>
        <rFont val="Times New Roman"/>
        <family val="1"/>
      </rPr>
      <t>Виготовлення проектно-кошторисної документації</t>
    </r>
    <r>
      <rPr>
        <sz val="12"/>
        <rFont val="Times New Roman"/>
        <family val="1"/>
      </rPr>
      <t xml:space="preserve"> для виконання робіт по заміні рулонного покрівельного шару та часткового ремонту оздоблення приміщень, які пошкоджені при неодноразовому замоканні.
Реалізація проекту надасть можливість якісному зберіганню медичних препаратів.</t>
    </r>
  </si>
  <si>
    <r>
      <rPr>
        <b/>
        <sz val="12"/>
        <rFont val="Times New Roman"/>
        <family val="1"/>
      </rPr>
      <t>Коригування проектно-кошторисної документації</t>
    </r>
    <r>
      <rPr>
        <sz val="12"/>
        <rFont val="Times New Roman"/>
        <family val="1"/>
      </rPr>
      <t xml:space="preserve"> та завершення робіт по утепленню фасадів мінераловатними плитами, цоколю, елементів фундаменту, влаштування відмощення.</t>
    </r>
  </si>
  <si>
    <r>
      <rPr>
        <b/>
        <sz val="12"/>
        <rFont val="Times New Roman"/>
        <family val="1"/>
      </rPr>
      <t xml:space="preserve">Коригування проектно-кошторисної документації </t>
    </r>
    <r>
      <rPr>
        <sz val="12"/>
        <rFont val="Times New Roman"/>
        <family val="1"/>
      </rPr>
      <t>та виконання робіт з теплосанації будівлі інтернату з метою енергозбереження та зменшення обсягу споживання енергоносіїв</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</si>
  <si>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лазні.
Необхідність дотримання санітарних норм, незадовільний технічний стан приміщень будівлі.</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</si>
  <si>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приміщень харчоблоку.
Аварійний стан будівлі харчоблоку.</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</si>
  <si>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котельні.
Незадовідьний технічний стан котельні та котельного обладнання</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</si>
  <si>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Необхідність дотримання санітарних норм незадовільний технічний стан приміщень будівлі</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</si>
  <si>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Незадовільний технічний стан елементів приміщень</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</si>
  <si>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Необхідність дотримання санітарних норм незадовільний технічний стан приміщень санвузлів</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</si>
  <si>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Необхідність дотримання санітарних норм незадовільний технічний стан приміщень та комунікацій харчоблоку</t>
    </r>
  </si>
  <si>
    <t>Виготовлення проектно-кошторисної документації.</t>
  </si>
  <si>
    <r>
      <rPr>
        <b/>
        <sz val="12"/>
        <rFont val="Times New Roman"/>
        <family val="1"/>
      </rPr>
      <t xml:space="preserve">Виготовлення проектно-кошторисної документації </t>
    </r>
    <r>
      <rPr>
        <sz val="12"/>
        <rFont val="Times New Roman"/>
        <family val="1"/>
      </rPr>
      <t>та виконання робіт з капітального ремонту приміщень 2-го поверху та сходової клітини театру, а саме: 
- оздоблення приміщень;
- ремонт внутрішніх мереж водопостачання, теплопостачання та каналізації;
- заміна внутрішніх електромереж та електроосвітлення;
- встановлення електричних дзвінків.</t>
    </r>
  </si>
  <si>
    <r>
      <rPr>
        <b/>
        <sz val="12"/>
        <rFont val="Times New Roman"/>
        <family val="1"/>
      </rPr>
      <t>Виготовлення проектно-кошторисної документації</t>
    </r>
    <r>
      <rPr>
        <sz val="12"/>
        <rFont val="Times New Roman"/>
        <family val="1"/>
      </rPr>
      <t xml:space="preserve"> та виконання ремонтно-відновлювальних робіт покриття набережної.</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</si>
  <si>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капітального ремонту приміщень туалету, що відповідатиме санітарно-гігієнічним нормам.</t>
    </r>
  </si>
  <si>
    <r>
      <t xml:space="preserve">Виконання робіт з ремонту покрівлі будівлі, ремонту приміщень та тераси, що сприятиме збереженню фонду будівлі закладу, поліпшить умови фізичного виховання молоді та проведення змагань та чемпіонатів.
</t>
    </r>
    <r>
      <rPr>
        <b/>
        <sz val="12"/>
        <rFont val="Times New Roman"/>
        <family val="1"/>
      </rPr>
      <t>Проектно-кошторисна документація в стадії розроблення УКБ.</t>
    </r>
  </si>
  <si>
    <r>
      <rPr>
        <b/>
        <sz val="12"/>
        <rFont val="Times New Roman"/>
        <family val="1"/>
      </rPr>
      <t>Коригування проектно-кошторисної документацію</t>
    </r>
    <r>
      <rPr>
        <sz val="12"/>
        <rFont val="Times New Roman"/>
        <family val="1"/>
      </rPr>
      <t xml:space="preserve"> та завершення робіт із санації будівлі.</t>
    </r>
  </si>
  <si>
    <r>
      <rPr>
        <b/>
        <sz val="12"/>
        <rFont val="Times New Roman"/>
        <family val="1"/>
      </rPr>
      <t>Виготовленя проектно-кошторисної документацію</t>
    </r>
    <r>
      <rPr>
        <sz val="12"/>
        <rFont val="Times New Roman"/>
        <family val="1"/>
      </rPr>
      <t xml:space="preserve"> для виконання робіт з капітального ремонту фонтану з освітленням та звуковим супроводом.</t>
    </r>
  </si>
  <si>
    <r>
      <rPr>
        <b/>
        <sz val="12"/>
        <rFont val="Times New Roman"/>
        <family val="1"/>
      </rPr>
      <t>Виготовленя проектно-кошторисної документацію</t>
    </r>
    <r>
      <rPr>
        <sz val="12"/>
        <rFont val="Times New Roman"/>
        <family val="1"/>
      </rPr>
      <t xml:space="preserve"> для виконання робіт з капітального ремонту приміщень:  сценічного комплексу, фойє ІІ поверху, системи димомидалення та пожежогасіння.</t>
    </r>
  </si>
  <si>
    <r>
      <rPr>
        <b/>
        <sz val="12"/>
        <rFont val="Times New Roman"/>
        <family val="1"/>
      </rPr>
      <t>Кошти на виготовлення проектно-кошторисної документації</t>
    </r>
    <r>
      <rPr>
        <sz val="12"/>
        <rFont val="Times New Roman"/>
        <family val="1"/>
      </rPr>
      <t xml:space="preserve"> для проведення експертизи.Фасад будівлі перебуває в жахливому стані. На стінах маються щілини, відшарування штукатурки. </t>
    </r>
  </si>
  <si>
    <r>
      <rPr>
        <b/>
        <sz val="12"/>
        <rFont val="Times New Roman"/>
        <family val="1"/>
      </rPr>
      <t xml:space="preserve">Кошти на виготовлення проектно-кошторисної документації </t>
    </r>
    <r>
      <rPr>
        <sz val="12"/>
        <rFont val="Times New Roman"/>
        <family val="1"/>
      </rPr>
      <t xml:space="preserve">для проведення експертизи.Фасад будівлі перебуває в жахливому стані. На стінах маються щілини, відшарування штукатурки. </t>
    </r>
  </si>
  <si>
    <t>ПЕРЕЛІК
об’єктів і заходів, які додатково пропонуються до фінансування за рахунок коштів  субвенції з державного бюджету місцевим бюджетам на фінансування заходів щодо соціально-економічного розвитку окремих територій у 2016 роців</t>
  </si>
  <si>
    <t>Залишок на 01.10.2016, тис.грн.</t>
  </si>
  <si>
    <t>Пропозиції до фінансування на 2016 рік, тис.грн.</t>
  </si>
  <si>
    <t>Капітальний ремонт відділення тепловодолікування - відновлення басейну обласної лікарні відновного лікування по вул.Велика Морська, 27 в м. Миколаєві (в т.ч. коригування проектно-кошторисної документації та проведення експертизи)</t>
  </si>
  <si>
    <t xml:space="preserve">Коригування проектно-кошторисної документації та завершення капітального ремонту приміщення гідропатії з введенням в експлуатації басейну для застосування витяжки хребта у воді та розміщення ванн (сірководневі) та різні види масажу у ваннах.
Гідропатія –  водолікування – зовнішнє застосування прісної води у вигляді ванн, душів, обливань, обтирань, укутувань.
</t>
  </si>
  <si>
    <t>Проект передбачає посилення несучих конструкцій під залом гідропатії та завершення капітального ремонту приміщення гідропатії, в подальшому з введенням в експлуатації басейну для застосування витяжки хребта у воді та розміщення ванн (сірководневі) та різні види масажу у ваннах. 
Гідропатія –  водолікування – зовнішнє застосування прісної води у вигляді ванн, душів, обливань, обтирань, укутувань.</t>
  </si>
  <si>
    <t>110204
3132</t>
  </si>
  <si>
    <t>В зв’язку з довгостроковою експлуатацію матеріал покрівлі має численні порушення цілісності (тріщини, сколи), в результаті затікання дерев’яні консутркції пошкодження гнилістю стропільні ноги мають значні просадки.</t>
  </si>
  <si>
    <t>Система опалдення потребує реконструкції, дуже стара. Для виконання енергозберігаючих заходів.</t>
  </si>
  <si>
    <t>Проектно-кошторисна документація в стадії розроблення. Нет проекта - через 2 недели 300,000</t>
  </si>
  <si>
    <t>Навчальний корпус вищого музичного училища, м.Миколаїв - реконструкція (в тому числі коригування проектно-кошторисної документації та проведення експертизи)</t>
  </si>
  <si>
    <r>
      <rPr>
        <b/>
        <sz val="12"/>
        <rFont val="Times New Roman"/>
        <family val="1"/>
      </rPr>
      <t>Коригування проектно-кошторисної документаці</t>
    </r>
    <r>
      <rPr>
        <sz val="12"/>
        <rFont val="Times New Roman"/>
        <family val="1"/>
      </rPr>
      <t>ї та виконання робіт з реконструкції покрівлі, фасаду та внутрішніх приміщень музичного училища.</t>
    </r>
  </si>
  <si>
    <t>Реконструкція будівлі Миколаївського академічного українського театру драми та музичної комедії по вуд. Дунаєва, 59 в м. Миколаєві (в т.ч. коригування проектно-кошторисної документації та проведення експертизи)</t>
  </si>
  <si>
    <t>Реконструкція системи опалення Миколаївської спеціальнім загальноосвітньої школі-інтернату №6 ІІІ ступенів Миколаївської обласної ради по вул Рибна, 95  (в тому числі коригування проектно-кошторисної документації та проведення експертизи)</t>
  </si>
  <si>
    <r>
      <rPr>
        <b/>
        <sz val="12"/>
        <rFont val="Times New Roman"/>
        <family val="1"/>
      </rPr>
      <t>Коригування проектно-кошторисної документаці</t>
    </r>
    <r>
      <rPr>
        <sz val="12"/>
        <rFont val="Times New Roman"/>
        <family val="1"/>
      </rPr>
      <t>ї.</t>
    </r>
  </si>
  <si>
    <t>Коригування проектно-кошторисної документації.</t>
  </si>
  <si>
    <t>Прибудова до будівлі навчального корпусу ліфтової шахти.Заміна дерев’яного перекриття навчального корпусу на залізобетонне, заміна покриття даху та утеплення горищного перекриття, заміна внутрішніх інженерних мереж спортивної зали, навчального та спального корпусів, заміна дерев’яних вікон і дверей на металопластикові, заміна підлоги та підсилення конструкцій стін спортивної зали. Перепланування приміщень в підвалі спального корпусу. Ремонт внутрішніх приміщень та зовнішнє утеплення стін дасть можливість економії бюджетних коштів на опаленні та забезпечить належний рівень надання послуг в загальноосвітніх навчальних закладах.</t>
  </si>
  <si>
    <t xml:space="preserve">Реконструкція даху, вентиляції і утеплення будівель, заміні теплових мереж ІІ корпусу будинку, що дасть можливість економії бюджетних коштів на опаленні та забеспечення теплового режиму в приміщеннях.                                  </t>
  </si>
  <si>
    <t xml:space="preserve">Капітальний ремонт та утеплення фасаду будівлі учбового корпусу Вищого училища фізкультури Миколаївської обласної ради, по вул. Чигрина,41 м. Миколаєва </t>
  </si>
  <si>
    <t xml:space="preserve">Фасад будівлі перебуває в жахливому стані. На стінах маються щілини, відшарування штукатурки. </t>
  </si>
  <si>
    <t>Виконання робіт:
- внутрішні оздоблювальні роботи;
- ремонт покрівлі;
- ремонт внутрішніх мереж водопостачання, теплопостачання та каналізації;
- заміна електропроводки</t>
  </si>
  <si>
    <t>Капітальний ремонт будівлі обласного інституту післядипломної педагогічної освіти по вул. Адміральська, 4-А у м. Миколаєві</t>
  </si>
  <si>
    <t>Виконання робіт з ремонту покрівлі будівлі, ремонту приміщень та тераси, що сприятиме збереженню фонду будівлі закладу, поліпшить умови фізичного виховання молоді та проведення змагань та чемпіонатів.</t>
  </si>
  <si>
    <t>Кошти обласного бюджету розвитку для спрямування  на співфінансування об’єктів за напрямами і заходами, що будуть визначені  окремими нормативно-правовими актами Кабінету Міністрів України за рахунок коштів державного бюджету</t>
  </si>
  <si>
    <t>Виконання робіт з реконструкції харчоблоку, а саме внутрішніх приміщень (улаштування підлоги, внутрішніх інженерних мереж водопостачання, каналізації, електричних мереж).</t>
  </si>
  <si>
    <t>Виконання робіт з реконструкції покрівлі, фасаду та внутрішніх приміщень музичного училища (в т.ч. коригування проектно-кошторисної документації)</t>
  </si>
  <si>
    <t>Будівля знаходисть в незадовільному стані, необхідно терміново виконати роботи з реконструкції покрівлі, реставрвції фасаду, заміни інженерних мереж (в т.ч. виготовлення проектно-кошторисної документації)</t>
  </si>
  <si>
    <t>Коригування проектно-кошторисної документацію та завершення робіт із санації будівлі.</t>
  </si>
  <si>
    <t>Обладнання котельні витратило свій енергетичний ресурс та потребує технічної модернізації. Проектом передбачається заміна  котельного обладнання на обладнання з більш високим КПД. Також реалізація проекту дасть можливість зменшити витрати бюджетних коштів на оплату опалення за рахунок енергозберігаючого ефекту та забезпечить належні санітарно-гігієнічні умови для вихованців школи-інтернату.
Водопостачання на котельню здійснюється від власної свердловини. За низької якості води котли виходять з ладу. Проектом передбачено встановлення системи ощищення води.</t>
  </si>
  <si>
    <t>Пропозиції до фінансування на 2018 рік, тис.грн.</t>
  </si>
  <si>
    <t>Пропозиції до фінансування на 2019 рік, тис.грн.</t>
  </si>
  <si>
    <t>080205
3132</t>
  </si>
  <si>
    <t>Капітальний ремонт покрiвлi Миколаївської загальноосвітньої санаторної школи-інтернат I-III ступенiв №4 Миколаївської обласної ради по вул. Адмiральській, 4Б в м.Миколаєві</t>
  </si>
  <si>
    <t>Капітальний ремонт школи Миколаївського обласного дитячого санаторію "Південний" по вул. Спортивній, 19 в м. миколаєві</t>
  </si>
  <si>
    <t>Реконструкція Миколаївської загальноосвітньої школи-інтернату № 3 І-ІІІ ступенів Миколаївської обласної ради по вул. 1 Слобідська, 74, м.Миколаїв</t>
  </si>
  <si>
    <r>
      <t xml:space="preserve">Санація будівлі комунального закладу культури "Обласний палац культури" за адресою пл. Суднобудівників, 3 в м.Миколаїв (капітальний ремонт) </t>
    </r>
    <r>
      <rPr>
        <sz val="12"/>
        <color indexed="10"/>
        <rFont val="Times New Roman"/>
        <family val="1"/>
      </rPr>
      <t>(в т.ч. коригування проектно-кошторисної документації та проведення експертизи)</t>
    </r>
  </si>
  <si>
    <t xml:space="preserve">ПЕРЕЛІК
об’єктів і заходів, які пропонуються до фінансування за рахунок коштів бюджету розвитку обласного бюджету в 2017 році </t>
  </si>
  <si>
    <t>Реконструкція системи опалення з встановленням вузла обліку тепла 1-го відділення Миколаївського обласного наркологічного диспансера по вул. 2-а Екіпажна, 4Б в м.Миколаєві</t>
  </si>
  <si>
    <t>Рік початку будівництва</t>
  </si>
  <si>
    <t>Залишок на 01.01.2018, тис.грн.</t>
  </si>
  <si>
    <t>Пропозиції до додаткового фінансування на 2018 рік, тис.грн.</t>
  </si>
  <si>
    <t>Пропозиції до фінансування на 2020 рік, тис.грн.</t>
  </si>
  <si>
    <t>КПКВК
КЕКВ</t>
  </si>
  <si>
    <t>Підстави та обгрунтування видатків та очікувані результати</t>
  </si>
  <si>
    <t>Найменування об’єкта, місцезнаходження</t>
  </si>
  <si>
    <t>Проектна потуж-ність, відповід-них одиниць</t>
  </si>
  <si>
    <t>Наявність проектно-кошторис-ної документа-ції та висновку держбудекспертизи (дата, №)</t>
  </si>
  <si>
    <t>Дата затвердження проектно-кошторисної документації та найменування відповідного органу державної влади</t>
  </si>
  <si>
    <t>ПЕРЕЛІК
об’єктів і заходів, які пропонуються до фінансування за рахунок коштів бюджету розвитку обласного бюджету в 2018 році та наступні за плановим два бюджетні періоди</t>
  </si>
  <si>
    <t>4716310
3142</t>
  </si>
  <si>
    <t>4716310
3122</t>
  </si>
  <si>
    <t>4716330
3142</t>
  </si>
  <si>
    <t>Реконструкція котельні та теплових мереж з впровадженням енергозберігаючих технологій Лисогірської спеціальної загальноосвітньої школи-інтернату  Первомайського району Миколаївської області</t>
  </si>
  <si>
    <t>Будівництво топкової з впровадженням енергозберігаючих технологій Новопетрівської спеціальної загальноосвітньої школи-інтернату  Снігурівського району Миколаївської області</t>
  </si>
  <si>
    <t>4716330
3122</t>
  </si>
  <si>
    <t>3 котла</t>
  </si>
  <si>
    <t>2 котла</t>
  </si>
  <si>
    <t>Форма власності</t>
  </si>
  <si>
    <t>кому-нальна</t>
  </si>
  <si>
    <t>Проектно-кошторисна документація в стадії розроблення УКБ.</t>
  </si>
  <si>
    <t>МК 143163142048 від 09.11.2016</t>
  </si>
  <si>
    <t>Всього</t>
  </si>
  <si>
    <t>в т.ч. виготовлення (коригування) проектно-кошторисної документації</t>
  </si>
  <si>
    <t>Наказ УКБ ОДА від №</t>
  </si>
  <si>
    <t>ПКД, звіт від №</t>
  </si>
  <si>
    <t>ПКД, 
звіт від 10.02.2016 № 15-0029-16</t>
  </si>
  <si>
    <t>311 осіб</t>
  </si>
  <si>
    <t>Наказ УКБ ОДА від 10.02.2016 № 18</t>
  </si>
  <si>
    <r>
      <rPr>
        <b/>
        <sz val="12"/>
        <rFont val="Times New Roman"/>
        <family val="1"/>
      </rPr>
      <t xml:space="preserve">Виготовлення проектно-кошторисної документації. </t>
    </r>
    <r>
      <rPr>
        <sz val="12"/>
        <rFont val="Times New Roman"/>
        <family val="1"/>
      </rPr>
      <t>Котли морально та фізично застарілі, низкий КПД. За експлуатаційного терміну обладнання котельні потребує модернізації. Впровадження проекту буде сприяти економії бюджетних коштів на енергоносії та створенню комфортних умов для вихованців закладу.</t>
    </r>
  </si>
  <si>
    <t>Капітальний ремонт спортивного залу Володимирівської загальноосвітньої школи-інтернату Миколаївської обласної ради, с. Володимирівка Казанківського району</t>
  </si>
  <si>
    <t>Реконструкція котельні з впровадженням енергозберігаючих технологій Антонівської загальноосвітньої школи-інтернату І-ІІІ ступенів Миколаївської обласної ради, с. Антонівка Новоодеського району</t>
  </si>
  <si>
    <t>4711040
3132</t>
  </si>
  <si>
    <t>Утеплення будівлі учбового корпусу Миколаївської загальноосвітньої санаторної школи-інтернату І-ІІІ ступенів № 4 Миколаївської обласної ради , м. Миколаїв, вул Адміральська, 4</t>
  </si>
  <si>
    <t>Реконструкція покрівлі спальних корпусів Шевченківської загальноосвітньої школи-інтернату Миколаївської обласної ради, с. Шевченкове Вітовського району</t>
  </si>
  <si>
    <t>Будівництво спортивного майданчику на території Мішково-Погорілівської загальноосвітньої санаторної школи-інтернату I-III ступенів Миколаївської обласної ради по вул. Маяковського, 129 у с.Мішково-Погорілове, Жовтневого району Миколаївської області</t>
  </si>
  <si>
    <t>Забезпечення температурного режиму, створення комфорних умов для усіх учасників навчально-виховного процесу. Проектно-кошторисна документація розроблена та отримано позитивний висновок.</t>
  </si>
  <si>
    <t>4711070
3132</t>
  </si>
  <si>
    <t>Капітальний ремонт спального корпусу з термосанацією будівлі Привільненської спеціальної загальноосвітньої школи-інтернату  Миколаївської обласної ради, с. Привільне  Баштанського району</t>
  </si>
  <si>
    <t>Капітальний ремонт системи водопостачання Миколаївського обласного  еколого-натуралістичного центру учнівської молоді Миколаївської обласної ради, м. Миколаїв, пр. Героїв України,1</t>
  </si>
  <si>
    <t>4711210
3132</t>
  </si>
  <si>
    <t>4716421
3142</t>
  </si>
  <si>
    <t>Навчальний корпус вищого музичного училища, м.Миколаїв - реконструкція (реконструкція житлового будинку для розміщення навчального корпусу Миколаївського Державного вищого музичного училища за адресою вул.Соборна, 10а у м.Миколаєві)</t>
  </si>
  <si>
    <t>Наказ УКБ ОДА від 11.09.17 №71</t>
  </si>
  <si>
    <r>
      <t>480 м</t>
    </r>
    <r>
      <rPr>
        <vertAlign val="superscript"/>
        <sz val="12"/>
        <rFont val="Times New Roman"/>
        <family val="1"/>
      </rPr>
      <t>2</t>
    </r>
  </si>
  <si>
    <t>Виконання робіт з реконструкції покрівлі, фасаду та внутрішніх приміщень музичного училища</t>
  </si>
  <si>
    <t>ПКД, 
№ 15-0978-15 від 12.02.2016</t>
  </si>
  <si>
    <t>Завершення робіт з будівництво спортивних майданчиків:
Втілення проекту поліпшить умови фізичного виховання молоді; дозволить втілити в життя сучасні інновації, які змінюють структуру, методи, форми і технології фізичного виховання, проведення змагань та чемпіонатів.</t>
  </si>
  <si>
    <t>ПКД, 
№ 15-0384-17 від 22.08.2017</t>
  </si>
  <si>
    <t>Наказ УКБ ОДА від 16.02.16 №22</t>
  </si>
  <si>
    <r>
      <t>3169,4 м</t>
    </r>
    <r>
      <rPr>
        <vertAlign val="superscript"/>
        <sz val="12"/>
        <rFont val="Times New Roman"/>
        <family val="1"/>
      </rPr>
      <t>2</t>
    </r>
  </si>
  <si>
    <t>ПКД, 
№ 15-1015-15 від 26.01.2016</t>
  </si>
  <si>
    <t>Наказ УКБ ОДА від 26.01.16 №10</t>
  </si>
  <si>
    <r>
      <t>1030,0 м</t>
    </r>
    <r>
      <rPr>
        <vertAlign val="superscript"/>
        <sz val="12"/>
        <rFont val="Times New Roman"/>
        <family val="1"/>
      </rPr>
      <t>2</t>
    </r>
  </si>
  <si>
    <t>4716380
3142</t>
  </si>
  <si>
    <t>ПКД,
№ 01/764 від 11.11.2011</t>
  </si>
  <si>
    <t>Наказ УКБ ОДА від 11.11.2011 №149</t>
  </si>
  <si>
    <r>
      <t>6408 м</t>
    </r>
    <r>
      <rPr>
        <vertAlign val="superscript"/>
        <sz val="12"/>
        <rFont val="Times New Roman"/>
        <family val="1"/>
      </rPr>
      <t>2</t>
    </r>
  </si>
  <si>
    <t>Реставрація адміністрацивної будівлі Миколаївського обласного центру перепідготовки та підвищення кваліфікації працівників органів державної влади, органів місцевого самоврядування, державних підприємств, установ і організацій по вул.Шевченка, 64 у м.Миколаєві</t>
  </si>
  <si>
    <t>Миколаївський обласний художній музей ім. В.В. Верещагіна по вул.Велика Морська, 47 у м. Миколаєві (реставрація). Будівля громадського призначення</t>
  </si>
  <si>
    <t>ПКД,
№ 15-0787-15 від 28.10.2015</t>
  </si>
  <si>
    <r>
      <t>948,5 м</t>
    </r>
    <r>
      <rPr>
        <vertAlign val="superscript"/>
        <sz val="12"/>
        <rFont val="Times New Roman"/>
        <family val="1"/>
      </rPr>
      <t>2</t>
    </r>
  </si>
  <si>
    <t>Реставрація приміщень Миколаївської обласної дитячо-юнацької спортивної школи "Обласний шахово-шашковий клуб" імені М.В.Шелеста</t>
  </si>
  <si>
    <t>ПКД,
№ 15-0442-17 (15-0152-17) від 02.08.2017</t>
  </si>
  <si>
    <t>Наказ УКБ ОДА від 29.10.2015 №126</t>
  </si>
  <si>
    <r>
      <t>524 м</t>
    </r>
    <r>
      <rPr>
        <vertAlign val="superscript"/>
        <sz val="12"/>
        <rFont val="Times New Roman"/>
        <family val="1"/>
      </rPr>
      <t>3</t>
    </r>
  </si>
  <si>
    <t>Наказ УКБ ОДА від 15.09.2017 №77</t>
  </si>
  <si>
    <t>Виконання робіт з реставрації, приміщень та тераси, покрівлі будівліщо сприятиме збереженню фонду будівлі закладу, поліпшить умови фізичного виховання молоді та проведення змагань та чемпіонатів.</t>
  </si>
  <si>
    <t>Реставрація приміщень Державної обласної універсальної наукової бібліотеки ім. О.Гмирьова по вул Московська, 9  у м.Миколаєві (в тому числі виготовлення проектно-кошторисної документації та проведення експертизи)</t>
  </si>
  <si>
    <t xml:space="preserve">Санація будівлі комунального закладу культури "Обласний палац культури" за адресою: пл. Суднобудівників, 3 в м.Миколаєві (Капітальний ремонт)"Коригування </t>
  </si>
  <si>
    <t>ПКД,
№ 15-0117-17 від 09.06.2017</t>
  </si>
  <si>
    <t>4714090
3132</t>
  </si>
  <si>
    <t>Наказ УКБ ОДА від 12.06.2017 №43</t>
  </si>
  <si>
    <r>
      <t>41181,5 м</t>
    </r>
    <r>
      <rPr>
        <vertAlign val="superscript"/>
        <sz val="12"/>
        <rFont val="Times New Roman"/>
        <family val="1"/>
      </rPr>
      <t>3</t>
    </r>
  </si>
  <si>
    <t>Завершення робіт із санації будівлі.</t>
  </si>
  <si>
    <t>4715033
3132</t>
  </si>
  <si>
    <t>ПКД,
№ 15-0170-16 від 27.04.2016</t>
  </si>
  <si>
    <t>Наказ УКБ ОДА від 27.04.2016 №50</t>
  </si>
  <si>
    <r>
      <t>832,6 м</t>
    </r>
    <r>
      <rPr>
        <vertAlign val="superscript"/>
        <sz val="12"/>
        <rFont val="Times New Roman"/>
        <family val="1"/>
      </rPr>
      <t>2</t>
    </r>
  </si>
  <si>
    <t>4715031
3132</t>
  </si>
  <si>
    <t>ПКД,
№ 15-0355-16 від 13.07.2016</t>
  </si>
  <si>
    <t>Наказ УКБ ОДА від 23.03.2016 №34</t>
  </si>
  <si>
    <r>
      <t>2875,20 м</t>
    </r>
    <r>
      <rPr>
        <vertAlign val="superscript"/>
        <sz val="12"/>
        <rFont val="Times New Roman"/>
        <family val="1"/>
      </rPr>
      <t>2</t>
    </r>
  </si>
  <si>
    <t>4712070
3132</t>
  </si>
  <si>
    <t>Капітальний ремонт школи Миколаївського обласного дитячого санаторію "Південний" по вул.Спортивній, 19 в м.Миколаєві</t>
  </si>
  <si>
    <t>ПКД,
№ 15-0995-15 від 22.12.2015</t>
  </si>
  <si>
    <t xml:space="preserve">Капітальний ремонт та утеплення фасаду будівлі навчального корпусу Вищого училища фізичної культури Миколаївської обласної ради, по вул. Чигрина,41 м.Миколаєва </t>
  </si>
  <si>
    <t>4712030
3132</t>
  </si>
  <si>
    <t>ПКД,
№ 15-0019-17 від 06.03.2017</t>
  </si>
  <si>
    <t>Наказ УКБ ОДА від 13.03.2017 №27</t>
  </si>
  <si>
    <t>Капітальний ремонт з утеплення зовнішніх стін будівель Баштанського психоневрологічного інтернату в с.Лоцкіне, Баштанського району, Миколаївської області. Корпус №1 (у тому числі виготовлення проектно-кошторисної документації та проведення експертизи)</t>
  </si>
  <si>
    <t>4713102
3132</t>
  </si>
  <si>
    <t>Капітальний ремонт з утеплення зовнішніх стін будівель Баштанського психоневрологічного інтернату в с.Лоцкіне, Баштанського району, Миколаївської області. Корпус №2 (у тому числі виготовлення проектно-кошторисної документації та проведення експертизи)</t>
  </si>
  <si>
    <t>4713101
3132</t>
  </si>
  <si>
    <t>Капітальний ремонт санвузла на ІІ поверсі Степівського дитячого будинку-інтерната  за адресою: вул.Леніна, 45, с. Степове, Миколаївського району Миколаївської області (у тому числі виготовлення проектно-кошторисної документації та проведення експертизи)</t>
  </si>
  <si>
    <t>ПКД 
2012 року</t>
  </si>
  <si>
    <t>Капітальний ремонт  Баратівського психоневрологічного інтернату по вул.Степовій, 1 в с. Баратівка Новобузького району Миколаївської області (теплосанація будівлі) (у тому числі коригування проектно-кошторисної документації та проведення експертизи)</t>
  </si>
  <si>
    <r>
      <rPr>
        <b/>
        <sz val="12"/>
        <rFont val="Times New Roman"/>
        <family val="1"/>
      </rPr>
      <t xml:space="preserve">Виготовлення проектно-кошторисної документації </t>
    </r>
    <r>
      <rPr>
        <sz val="12"/>
        <rFont val="Times New Roman"/>
        <family val="1"/>
      </rPr>
      <t>для виконання робіт з реставрації фасаду будівлі. Для поліпшення еститичного вигляду фасаду театру та для збереження тепла і підтримки необхідного температурного режиму в приміщеннях театру, що призведе до ефективного економного витрачання енергоресурсів</t>
    </r>
  </si>
  <si>
    <t>вигот.ПКД
2017 року</t>
  </si>
  <si>
    <t>4714020
3132</t>
  </si>
  <si>
    <t>4716421
3122</t>
  </si>
  <si>
    <r>
      <t xml:space="preserve">Виготовлення проектно-кошторисної документації та будівництво другого поверху будівлі пристрою </t>
    </r>
    <r>
      <rPr>
        <sz val="12"/>
        <rFont val="Times New Roman"/>
        <family val="1"/>
      </rPr>
      <t>для складських приміщень (костюмерний цех).</t>
    </r>
  </si>
  <si>
    <r>
      <t xml:space="preserve">Виготовлення проектно-кошторисної документації.
</t>
    </r>
    <r>
      <rPr>
        <sz val="12"/>
        <rFont val="Times New Roman"/>
        <family val="1"/>
      </rPr>
      <t>Незадовільний санітарний стан приміщення, не відповідає нормам збереження рідкісних і цінних видань та бібліотечних фондів. Аварійний стан фасаду будівлі бібліотеки.</t>
    </r>
  </si>
  <si>
    <t>4711120
3131</t>
  </si>
  <si>
    <t xml:space="preserve">Наказ УКБ ОДА від </t>
  </si>
  <si>
    <t>ПКД, експ.звіт № 01/499 (15-00336-13 (мн-кч)) від 19.06.2013</t>
  </si>
  <si>
    <t>Коригування проектно-кршторисної документації.
Входить до Плану реалізації Стратегії розвітку Миколаївської області на період 2015-2017 роки. За останні роки зросла кількість хворих на хіморезистентний туберкульоз. Підвищення ефективності лікування хворих на хіміорезистентний туберкульоз.
Реконструкція корпусу боксованого відділення для хворих  на хіміорезистентний туберкульоз, а саме: загальнобудівельні роботи по корпусу, улаштування системи вентиляції, внутрішнього водопроводу, каналізації, системи опалення, електроосвітлення, електрообладнання, автоматичної пожежної сигналізації, сигналізації загазованості,  блискавкозахисту.  Придбання обладнання автоматизації, автоматичної пожежної сигналізації, сигналізації загазованності. Улаштування внутрішньомайданчикових мереж  0,4 кВ, дообладнання трансформаторної підстанції, винос зовнішньої мережі  10 кВ. Улаштування зовнішніх мереж водозабезпечення, каналізації. Будівництво модульної котельні та зовнішніх мереж газопостачання. Улаштування прогулочного майданчика для спецконтингенту.Улаштування тротуарів, озеленення та зовнішнього освітлення.</t>
  </si>
  <si>
    <r>
      <rPr>
        <b/>
        <sz val="12"/>
        <rFont val="Times New Roman"/>
        <family val="1"/>
      </rPr>
      <t>Коригування проектно-кршторисної документації.</t>
    </r>
    <r>
      <rPr>
        <sz val="12"/>
        <rFont val="Times New Roman"/>
        <family val="1"/>
      </rPr>
      <t xml:space="preserve">
Входить до Плану реалізації Стратегії розвітку Миколаївської області на період 2015-2017 роки. За останні роки зросла кількість хворих на хіморезистентний туберкульоз. Підвищення ефективності лікування хворих на хіміорезистентний туберкульоз.</t>
    </r>
  </si>
  <si>
    <t>ПКД
 2010 року</t>
  </si>
  <si>
    <r>
      <t xml:space="preserve">Виготовлення проектно-кошторисної документації 
</t>
    </r>
    <r>
      <rPr>
        <sz val="12"/>
        <rFont val="Times New Roman"/>
        <family val="1"/>
      </rPr>
      <t>Входить до Плану реалізації Стратегії розвітку Миколаївської області на період 2015-2017 роки. Організація бактеріологічного циклу КДЛ потужністю 22 тис.досліджень на рік. Оперативне реагування на інфекційний процес.</t>
    </r>
  </si>
  <si>
    <t>ПКД 
2011 року</t>
  </si>
  <si>
    <t>Реконструкція радіологічного блоку Миколаївського обласного онкологічного диспансеру по вул.Миколаївській, 18, м.Миколаїв (в т.ч. виготовлення проектно-кошторисної документації та проведення експертизи)</t>
  </si>
  <si>
    <t>ПКД потребує доопрацювання</t>
  </si>
  <si>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Будівля в аварійному стані. Приведення будівлі до санітарних вимог, у т.ч. з енергоефективності та  доступу маломобільних груп населення.</t>
    </r>
  </si>
  <si>
    <t>4712010
3132</t>
  </si>
  <si>
    <t xml:space="preserve">Капітальний ремонт будівлі харчоблоку Миколаївської обласної психіатричної лікарні № 2 по вул. Сєвєрна, 14 в с.Сапетня Миолаївського району Миколаївської області  </t>
  </si>
  <si>
    <t>ПКД, експ.звіт №15-0060-17 від 28.03.2017</t>
  </si>
  <si>
    <t>Наказ УКБ ОДА від 28.03.2017 №29</t>
  </si>
  <si>
    <t>Приведення будівлі до санітарних вимог</t>
  </si>
  <si>
    <r>
      <t xml:space="preserve">Виготовлення проектно-кошторисної документації.
</t>
    </r>
    <r>
      <rPr>
        <sz val="12"/>
        <rFont val="Times New Roman"/>
        <family val="1"/>
      </rPr>
      <t>Виконання робіт з реконструкції системи опалення. Незадовідьний технічний стан системи опалення.</t>
    </r>
  </si>
  <si>
    <t>Капітальний ремонт м'якої покрівлі складських будівель складу № 1082 по вул. Гагаріна, 21 м. Миколаєва обласної бази спеціального медичного постачання (у тому числі коригування проектно-кошторисної документації та проведення експертизи)</t>
  </si>
  <si>
    <t>4712220
3132</t>
  </si>
  <si>
    <t>Реконструкція приміщення дезінфекційної камери Миколаївського обласного госпіталю ветеранів війни по  вул. Київська, 1, м.Миколаїв (в т.ч. виготовлення проектно-кошторисної документації та проведення експертизи)</t>
  </si>
  <si>
    <t>ПКД  потребує перерахунку та експертизи</t>
  </si>
  <si>
    <t>Реставрація будівлі Центру ФСМТ, пам’ятник архітектури місцевого значення вул..Спаська,29 в м. Миколаєві  (в т.ч. виготовлення проектно-кошторисної документації та проведення експертизи)</t>
  </si>
  <si>
    <t>4711080
3132</t>
  </si>
  <si>
    <t>150  пос.місць</t>
  </si>
  <si>
    <r>
      <rPr>
        <b/>
        <sz val="12"/>
        <rFont val="Times New Roman"/>
        <family val="1"/>
      </rPr>
      <t>Виготовлення проектно-кошторисної документації.</t>
    </r>
    <r>
      <rPr>
        <sz val="12"/>
        <rFont val="Times New Roman"/>
        <family val="1"/>
      </rPr>
      <t xml:space="preserve">
Забезпечення закладу дезкамерою</t>
    </r>
  </si>
  <si>
    <t>Капітальний ремонт покрівлі адміністративно-лабораторного корпусу обласного центру з профілактики та боротьби зі СНІДом за адресою: м. Миколаїв, вул. Потьомкінська, 138-Б (в т.ч.коригування ПКД)</t>
  </si>
  <si>
    <r>
      <rPr>
        <b/>
        <sz val="12"/>
        <rFont val="Times New Roman"/>
        <family val="1"/>
      </rPr>
      <t>Коригування проектно-кошторисної документації.</t>
    </r>
    <r>
      <rPr>
        <sz val="12"/>
        <rFont val="Times New Roman"/>
        <family val="1"/>
      </rPr>
      <t xml:space="preserve">
Капітальний ремонт покрівлі будівлі.</t>
    </r>
  </si>
  <si>
    <t>В.о. начальника управління капітального будівництва облдержадміністрації</t>
  </si>
  <si>
    <t>О.В. Барбаянова</t>
  </si>
  <si>
    <t>ОСВІТА 
Разом</t>
  </si>
  <si>
    <t>(Прибудова до будівлі навчального корпусу ліфтової шахти.Заміна дерев’яного перекриття навчального корпусу на залізобетонне, заміна покриття даху та утеплення горищного перекриття, заміна внутрішніх інженерних мереж спортивної зали, навчального та спального корпусів, заміна дерев’яних вікон і дверей на металопластикові, заміна підлоги та підсилення конструкцій стін спортивної зали. Перепланування приміщень в підвалі спального корпусу. Ремонт внутрішніх приміщень та зовнішнє утеплення стін дасть можливість економії бюджетних коштів на опаленні та забезпечить належний рівень надання послуг в загальноосвітніх навчальних закладах.)</t>
  </si>
  <si>
    <t>Капітальний ремонт та утеплення учбового корпусу Миколаївської загальноосвітньої санаторної школи-інтернату I-III ступенів №7 Миколаївської обласної ради по вул.Бутоми,14а, м.Миколаїв</t>
  </si>
  <si>
    <t>Капітальний ремонт системи опалення Миколаївської спеціальної загальноосвітньої школа-інтернату № 6 І-ІІІ ступенів Миколаївської обласної ради по вул. Рибна, 95 у  м.Миколаєві</t>
  </si>
  <si>
    <t>ПКД,
звіт від 06.03.2017 №15-0029-17</t>
  </si>
  <si>
    <t>4711040
3142</t>
  </si>
  <si>
    <t>Реконструкція топкової з впровадженням енергозберігаючих технологій у Широколанівській спеціальній загальноосвітній школі-інтернаті Веселинівського району Миколаївської обласної ради, с. Широкий Лан</t>
  </si>
  <si>
    <t>Реставраційні  (протиаварійні роботи будівлі ОБХТ) пам’ятник архітектури місцевого значення вул.. Фалєєвська,7 в м. Миколаєві</t>
  </si>
  <si>
    <t>ОХОРОНА ЗДОРОВ’Я
Разом</t>
  </si>
  <si>
    <t>ПКД 2016 потр.кор.та пров.експ.</t>
  </si>
  <si>
    <t>СОЦІАЛЬНИЙ ЗАХИСТ
Разом</t>
  </si>
  <si>
    <t>КУЛЬТУРА
Разом</t>
  </si>
  <si>
    <t>ФІЗКУЛЬТУРА І СПОРТ
Разом</t>
  </si>
  <si>
    <t>4712030
3142</t>
  </si>
  <si>
    <t>ПКД 2015 року</t>
  </si>
  <si>
    <r>
      <rPr>
        <b/>
        <sz val="12"/>
        <rFont val="Times New Roman"/>
        <family val="1"/>
      </rPr>
      <t xml:space="preserve">Коригування проектно-кошторисної документації.
</t>
    </r>
    <r>
      <rPr>
        <sz val="12"/>
        <rFont val="Times New Roman"/>
        <family val="1"/>
      </rPr>
      <t>ПКД 2011 року не відповідає новим державним будівельним нормам.
Будівля знаходиться в аварійному стані. Для уникнення аварійно-небезпечних ситуацій, які можуть загрожувати життю дітей та працівників санаторію.</t>
    </r>
  </si>
  <si>
    <t>ПКД УКБ 2017</t>
  </si>
  <si>
    <t>4711140
3132</t>
  </si>
  <si>
    <t>Капітальний ремонт навчального корпусу комунального закладу «Березківський навчально-виховний комплекс «Загальноосвітня школа-інтернат- ліцей І-ІІІ ступенів» Миколаївської обласної ради по вул. Ковальського, 10 в с.Берізки Кривоозерського району Миколаївської області</t>
  </si>
  <si>
    <t>Реконструкція покрівілі майстерні та пральні Вознесенської спеціальної загальноосвітньої школи-інтернату Миколаївської обласної ради, м. Вознесенськ, вул Пушкінська,30</t>
  </si>
  <si>
    <t>Капітальний ремонт спального корпусу Миколаївської спеціальної загальноосвітньої школи-інтернату № 3 Миколаївської обласної ради, м. Миколаїв, вул Котельна, 117</t>
  </si>
  <si>
    <t>Реконструкція пральні Комунального закладу «Загальноосвітня школа-інтернат І-ІІІ ступенів – центр загальної і профільної освіти та комплексної реабілітації» Миколаївської обласної ради, пр. Миру,15 м. Миколаїв</t>
  </si>
  <si>
    <t>Капітальний ремонт покрівлі та санація будівлі спальних корпусів Очаківської загальноосвітньої санаторної школи-інтернату І-ІІІ ступенів Миколаївської обласної ради, м. Очаків, вул.Лоцманська,56</t>
  </si>
  <si>
    <t>Завершення робіт:
- внутрішні оздоблювальні роботи; - ремонт покрівлі; - ремонт внутрішніх мереж водопостачання, теплопостачання та каналізації; - заміна електропроводки</t>
  </si>
  <si>
    <r>
      <t xml:space="preserve">Завершення робіт з реконструкції буде сприяти створенню безпечних, належних саніторно-гігієнічних умов в закладі  у відповідності ДБН та ДСТУ. 
Дасть можливість економії бюджетних коштів на опаленні та забезпечить належний рівень надання послуг в загальноосвітніх навчальних закладах.
</t>
    </r>
    <r>
      <rPr>
        <b/>
        <sz val="12"/>
        <rFont val="Times New Roman"/>
        <family val="1"/>
      </rPr>
      <t>Проектно-кошторисна документація в стадії коригування УКБ.</t>
    </r>
  </si>
  <si>
    <r>
      <t xml:space="preserve">Обладнння котельні вичерпало свій енергетичний ресурс та потребує технічної модернізації. Проектом передбачається заміна  котельного обладнання на обладнання з більш високим КПД. Також реалізація проекту надасть можливість зменьшити витрати бюджетних коштів на оплату опалення за рахунок енергозберігаючого ефекту та забезпечить належні санітарно-гігієнічні умови для вихованців школи-інтернату.
</t>
    </r>
    <r>
      <rPr>
        <b/>
        <sz val="12"/>
        <rFont val="Times New Roman"/>
        <family val="1"/>
      </rPr>
      <t>Проектно-кошторисна документація в стадії розроблення УКБ.</t>
    </r>
  </si>
  <si>
    <r>
      <t xml:space="preserve">Введення в експлуатацію топкової та створення комфорних умов для усіх учасників навчально-виховного процесу. Економія енергоносіїв .
</t>
    </r>
    <r>
      <rPr>
        <b/>
        <sz val="12"/>
        <rFont val="Times New Roman"/>
        <family val="1"/>
      </rPr>
      <t>Проектно-кошторисна документація в стадії розроблення УКБ.</t>
    </r>
  </si>
  <si>
    <r>
      <rPr>
        <b/>
        <sz val="12"/>
        <rFont val="Times New Roman"/>
        <family val="1"/>
      </rPr>
      <t xml:space="preserve">Виготовлення проектно-кошторисної документації </t>
    </r>
    <r>
      <rPr>
        <sz val="12"/>
        <rFont val="Times New Roman"/>
        <family val="1"/>
      </rPr>
      <t>та виконання робіт.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Покращенню естетичного вигляду будівлі.</t>
    </r>
  </si>
  <si>
    <r>
      <rPr>
        <b/>
        <sz val="12"/>
        <rFont val="Times New Roman"/>
        <family val="1"/>
      </rPr>
      <t>Виготовлення проектно-кошторисної документації</t>
    </r>
    <r>
      <rPr>
        <sz val="12"/>
        <rFont val="Times New Roman"/>
        <family val="1"/>
      </rPr>
      <t>. Виведення з технічно-незадовільного стану будівлі. Буде сприяти збереженню здоров</t>
    </r>
    <r>
      <rPr>
        <sz val="12"/>
        <rFont val="Arial Cyr"/>
        <family val="0"/>
      </rPr>
      <t>*</t>
    </r>
    <r>
      <rPr>
        <sz val="12"/>
        <rFont val="Times New Roman"/>
        <family val="1"/>
      </rPr>
      <t>я та життя дітей.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Збереження конструктивних елементів будівлі.</t>
    </r>
  </si>
  <si>
    <r>
      <rPr>
        <b/>
        <sz val="12"/>
        <rFont val="Times New Roman"/>
        <family val="1"/>
      </rPr>
      <t>Виготовлення проектно-кошторисної документації</t>
    </r>
    <r>
      <rPr>
        <sz val="12"/>
        <rFont val="Times New Roman"/>
        <family val="1"/>
      </rPr>
      <t>. За  експлуатаційним станом потребує реконструкції. Забезпечення збереження конструктивних елементів будівлі та створенню належних санітарно-технічних умов для учасників навчально-виховного процесу</t>
    </r>
  </si>
  <si>
    <r>
      <rPr>
        <b/>
        <sz val="12"/>
        <rFont val="Times New Roman"/>
        <family val="1"/>
      </rPr>
      <t>Виготовлення проектно-кошторисної документації.</t>
    </r>
    <r>
      <rPr>
        <sz val="12"/>
        <rFont val="Times New Roman"/>
        <family val="1"/>
      </rPr>
      <t xml:space="preserve">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Покращенню естетичного вигляду будівлі  А також для реалізації проекту "Новий освітній простір".</t>
    </r>
  </si>
  <si>
    <r>
      <rPr>
        <b/>
        <sz val="12"/>
        <rFont val="Times New Roman"/>
        <family val="1"/>
      </rPr>
      <t>Виготовлення проектно-кошторисної документації</t>
    </r>
    <r>
      <rPr>
        <sz val="12"/>
        <rFont val="Times New Roman"/>
        <family val="1"/>
      </rPr>
      <t xml:space="preserve"> та виконання робіт з реконструкції приміщення існуючої їдальні, яка перебуває в технічно-незадовільному стані та створює загрозу для усіх учасників навчально-виховного процесу. Завершення робіт буде сприяти покращенню харчування та створенню комфортних умов для вихованців закладу.</t>
    </r>
  </si>
  <si>
    <r>
      <rPr>
        <b/>
        <sz val="12"/>
        <rFont val="Times New Roman"/>
        <family val="1"/>
      </rPr>
      <t>Виготовлення проектно-кошторисної документації та виконання робіт.</t>
    </r>
    <r>
      <rPr>
        <sz val="12"/>
        <rFont val="Times New Roman"/>
        <family val="1"/>
      </rPr>
      <t xml:space="preserve">
Мережі водопостачання за експлуатаційного терміну потребують заміни. Перебувають в технічно-незадовільному стані</t>
    </r>
  </si>
  <si>
    <r>
      <rPr>
        <b/>
        <sz val="12"/>
        <rFont val="Times New Roman"/>
        <family val="1"/>
      </rPr>
      <t xml:space="preserve">Виготовлення проектно-кошторисної документації </t>
    </r>
    <r>
      <rPr>
        <sz val="12"/>
        <rFont val="Times New Roman"/>
        <family val="1"/>
      </rPr>
      <t>для виконання робіт з встановлення рідйомника для піднімання ліжкохворих дітей на ІІ поверх в кабінет реабілітації і фізпроцедур.</t>
    </r>
  </si>
  <si>
    <r>
      <rPr>
        <b/>
        <sz val="12"/>
        <rFont val="Times New Roman"/>
        <family val="1"/>
      </rPr>
      <t xml:space="preserve">Виготовлення проектно-кошторисної документації </t>
    </r>
    <r>
      <rPr>
        <sz val="12"/>
        <rFont val="Times New Roman"/>
        <family val="1"/>
      </rPr>
      <t>та виконання робіт із звміни санвузла для поліпшення санітано-гігієнічного режиму.</t>
    </r>
  </si>
  <si>
    <r>
      <rPr>
        <b/>
        <sz val="12"/>
        <rFont val="Times New Roman"/>
        <family val="1"/>
      </rPr>
      <t xml:space="preserve">Виготовлення проектно-кошторисної документації </t>
    </r>
    <r>
      <rPr>
        <sz val="12"/>
        <rFont val="Times New Roman"/>
        <family val="1"/>
      </rPr>
      <t xml:space="preserve">для виконання робіт з ремонту. Необхідність дотримання санітарних норм незадовільний технічний стан приміщень </t>
    </r>
  </si>
  <si>
    <r>
      <t xml:space="preserve">Завершення робіт по реконструкції виробничих корпусів (заміна конструкції веранд з цегляної кладки та дерев’яного остеклення на нові світлопрозорі зі склопакетів з ПВХ-профілю, заміна покриття даху, заміна дерев’яних вікон на склопакети з ПВХ-профілю та заміна внутрішніх інженерних мереж. Зовнішнє утеплення стін та утеплення горищного перекриття та влаштування санвузлу в приміщенні), що дасть можливість економії бюджетних коштів на експлуатаційні витрати, сприятиме збереженню фонду будівель та забезпечить належний рівень отримання освітніх послуг в загальноосвітніх навчальних закладах.
</t>
    </r>
    <r>
      <rPr>
        <b/>
        <sz val="12"/>
        <rFont val="Times New Roman"/>
        <family val="1"/>
      </rPr>
      <t>Проектно-кошторисна документація в стадії коригування УКБ.</t>
    </r>
  </si>
  <si>
    <r>
      <rPr>
        <b/>
        <sz val="12"/>
        <rFont val="Times New Roman"/>
        <family val="1"/>
      </rPr>
      <t>Виготовлення проектно-кошторисної документації.</t>
    </r>
    <r>
      <rPr>
        <sz val="12"/>
        <rFont val="Times New Roman"/>
        <family val="1"/>
      </rPr>
      <t xml:space="preserve">
За термінами експлуатації та технічним станом покрівля потребує капітального ремонту.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t>
    </r>
  </si>
  <si>
    <r>
      <rPr>
        <b/>
        <sz val="12"/>
        <rFont val="Times New Roman"/>
        <family val="1"/>
      </rPr>
      <t>Виготовлення проектно-кошторисної документації.</t>
    </r>
    <r>
      <rPr>
        <sz val="12"/>
        <rFont val="Times New Roman"/>
        <family val="1"/>
      </rPr>
      <t xml:space="preserve">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t>
    </r>
  </si>
  <si>
    <r>
      <rPr>
        <b/>
        <sz val="12"/>
        <rFont val="Times New Roman"/>
        <family val="1"/>
      </rPr>
      <t>Виготовлення проектно-кошторисної документації.</t>
    </r>
    <r>
      <rPr>
        <sz val="12"/>
        <rFont val="Times New Roman"/>
        <family val="1"/>
      </rPr>
      <t xml:space="preserve">
Збереження і розвиток історико-культурної та духовної спадщини. </t>
    </r>
  </si>
  <si>
    <r>
      <rPr>
        <b/>
        <sz val="12"/>
        <rFont val="Times New Roman"/>
        <family val="1"/>
      </rPr>
      <t>Виготовлення проектно-кошторисної документації.</t>
    </r>
    <r>
      <rPr>
        <sz val="12"/>
        <rFont val="Times New Roman"/>
        <family val="1"/>
      </rPr>
      <t xml:space="preserve">
За термінами експлуатації та технічним станом покрівля потребує капітального ремонту та система електропостачання.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Збереження конструктивних елементів будівлі.</t>
    </r>
  </si>
  <si>
    <r>
      <rPr>
        <b/>
        <sz val="12"/>
        <rFont val="Times New Roman"/>
        <family val="1"/>
      </rPr>
      <t>Виготовлення проектно-кошторисної документації.</t>
    </r>
    <r>
      <rPr>
        <sz val="12"/>
        <rFont val="Times New Roman"/>
        <family val="1"/>
      </rPr>
      <t xml:space="preserve">
За термінами експлуатації та технічним станом покрівля потребує капітального ремонту. Впровадження проекту надасть можливість забезпечити належні санітарно-гігієнічні умови для вихованців.</t>
    </r>
  </si>
  <si>
    <r>
      <rPr>
        <b/>
        <sz val="12"/>
        <rFont val="Times New Roman"/>
        <family val="1"/>
      </rPr>
      <t>Виготовлення проектно-кошторисної документації.</t>
    </r>
    <r>
      <rPr>
        <sz val="12"/>
        <rFont val="Times New Roman"/>
        <family val="1"/>
      </rPr>
      <t xml:space="preserve">
Приміщення пральні перебуває в технічно-незадовільному стані та потребує капітального ремонту. Подовження експлуатаційного терміну будівлі</t>
    </r>
  </si>
  <si>
    <r>
      <rPr>
        <b/>
        <sz val="12"/>
        <rFont val="Times New Roman"/>
        <family val="1"/>
      </rPr>
      <t>Виготовлення проектно-кошторисної документації.</t>
    </r>
    <r>
      <rPr>
        <sz val="12"/>
        <rFont val="Times New Roman"/>
        <family val="1"/>
      </rPr>
      <t xml:space="preserve">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та можливість направляти їх на соціально-економічний розвиток області</t>
    </r>
  </si>
  <si>
    <r>
      <rPr>
        <b/>
        <sz val="12"/>
        <rFont val="Times New Roman"/>
        <family val="1"/>
      </rPr>
      <t>Виготовлення проектно-кошторисної документації.</t>
    </r>
    <r>
      <rPr>
        <sz val="12"/>
        <rFont val="Times New Roman"/>
        <family val="1"/>
      </rPr>
      <t xml:space="preserve">
Покрівля перебуває в технічно-незадовільному стані та потребує капітального ремонту. Впровадження проекту забезпечить збереження конструктивних елементів будівлі.</t>
    </r>
  </si>
  <si>
    <t xml:space="preserve">Реконструкція внутрішьобудинкової системи опалення Миколаївської обласної психіатричної лікарні № 2 по вул.Сєвєрна, 14 в с.Сапетня Миолаївського району Миколаївської області  </t>
  </si>
  <si>
    <r>
      <rPr>
        <b/>
        <sz val="12"/>
        <rFont val="Times New Roman"/>
        <family val="1"/>
      </rPr>
      <t>Виготовлення проектно-кошторисної документації.</t>
    </r>
    <r>
      <rPr>
        <sz val="12"/>
        <rFont val="Times New Roman"/>
        <family val="1"/>
      </rPr>
      <t xml:space="preserve">
Незадовільний стан будівлі, внеаслідок заміни вікон утворилися тріщини.</t>
    </r>
  </si>
  <si>
    <t>Капітальний ремонт будівлі загальноосвітньої школи-інтернату I-III ступенів - центр загальної і профільної освіти та комплексної реабілітації Миколаївської обласної ради (в тому числі виготовлення проектно-кошторисної документації та проведення експертизи)</t>
  </si>
  <si>
    <t xml:space="preserve">Завершення робіт з ремонту фасаду будівлі, яка перебуває в жахливому стані. На стінах маються щілини, відшарування штукатурки. </t>
  </si>
  <si>
    <t>Реконструкція покрівлі учбового корпусу Рацинської спеціальної  загальноосвітньої  школи-інтернату Вознесенського району Миколаївської обласної ради, по вул. Учительська, 6, у с.Рацинська Дача Вознесенського району Миколаївської області</t>
  </si>
  <si>
    <t>Капітальний ремонт будівлі  лазні-пральні Виноградівського психоневрологічного інтернату Баштанського району, Миколаївської області (у тому числі виготовлення проектно-кошторисної документації та проведення експертизи)</t>
  </si>
  <si>
    <t>ПКД на експертизі</t>
  </si>
  <si>
    <r>
      <t xml:space="preserve">Завершення робіт.Будівля знаходисть в незадовільному стані, необхідно терміново виконати роботи з реконструкції покрівлі, реставрвції фасаду, заміни інженерних мереж.
</t>
    </r>
    <r>
      <rPr>
        <b/>
        <sz val="12"/>
        <rFont val="Times New Roman"/>
        <family val="1"/>
      </rPr>
      <t>Проектно-кошторисна документація в стадії коригування УКБ.</t>
    </r>
  </si>
  <si>
    <t>Будівництво другого поверху будівлі  Миколаївського академічного українського театру драми та музичної комедії м. Миколаїв вул.Дунаева, 59 (в т.ч. виготовлення проектно-кошторисної документації та проведення експертизи)</t>
  </si>
  <si>
    <t>Наказ УКБ від 21.11.2016 №153</t>
  </si>
  <si>
    <t>Реконструкція Степівського дитячого будинку-інтерната за адресою: вул.Леніна, 45, с. Степове, Миколаївського району Миколаївської області - встановлення підйомника на ІІ поверх  (у тому числі виготовлення проектно-кошторисної документації та проведення експертизи)</t>
  </si>
  <si>
    <t>Центр перепідготовки та підвищення кваліфікації 
Разом</t>
  </si>
  <si>
    <t>ПКД, звіт від 21.11.2016 №15-0676-16</t>
  </si>
  <si>
    <r>
      <t xml:space="preserve">Усунення просідання будівлі з метою забезпечення безпечної експлуатації. Впровадежння проекту буде сприяти збереженню енергетичних ресурсів і відповідно зменшення викидів парникових газів. Покращенню естетичного вигляду будівлі та створенню комфортних умов для вихованців навчального закладу.
</t>
    </r>
    <r>
      <rPr>
        <b/>
        <sz val="12"/>
        <rFont val="Times New Roman"/>
        <family val="1"/>
      </rPr>
      <t>Проектно-кошторисна документація в стадії розроблення УКБ.</t>
    </r>
  </si>
  <si>
    <t xml:space="preserve">
4711040
3132</t>
  </si>
  <si>
    <t>Реконсрукція майстерень під їдальню Вознесенської загальноосвітньої школи-інтернату І-ІІІ ступенів «Обдарованість» Миколаївської обласної ради, м. Вознесенськ, вул. Соборна,20</t>
  </si>
  <si>
    <r>
      <rPr>
        <b/>
        <sz val="12"/>
        <rFont val="Times New Roman"/>
        <family val="1"/>
      </rPr>
      <t>Виготовлення проектно-кошторисної документації.</t>
    </r>
    <r>
      <rPr>
        <sz val="12"/>
        <rFont val="Times New Roman"/>
        <family val="1"/>
      </rPr>
      <t xml:space="preserve">
Збереження і розвиток історико-культурної та духовної спадщини, створення умов для патріотичного виховання учнівської молоді</t>
    </r>
  </si>
  <si>
    <t xml:space="preserve">Виконання робіт з реконструкції харчоблоку, а саме внутрішніх приміщень (улаштування підлоги, внутрішніх інженерних мереж водопостачання, каналізації, електричних мереж).
</t>
  </si>
  <si>
    <r>
      <t xml:space="preserve">У звязку із застарілою системою опалення виникає неефективність використання палива
</t>
    </r>
    <r>
      <rPr>
        <b/>
        <sz val="12"/>
        <rFont val="Times New Roman"/>
        <family val="1"/>
      </rPr>
      <t>Проектно-кошторисна документація розробляється.</t>
    </r>
  </si>
  <si>
    <r>
      <t>Завершення робіт з утеплення зовнішній стін будівлі, що дасть можливість економії бюджетних коштів на опаленні.</t>
    </r>
    <r>
      <rPr>
        <b/>
        <sz val="12"/>
        <rFont val="Times New Roman"/>
        <family val="1"/>
      </rPr>
      <t xml:space="preserve"> 
Проектно-кошторисна документація на коригуванні.</t>
    </r>
  </si>
  <si>
    <r>
      <t xml:space="preserve">Завершення робіт з ремонту даху, заміні дерев’яних вікон на склопакети з ПВХ-профілю та дверей на нові з ПВХ-профілю і металеві, утеплення стін, ремонт басейну, каналізації та туалету в сауні, ремонт адмінбудівлі, гаражів та котельні забезпечить поліпшення умов та енергозбереження приміщень, забезпечення санітарних умов.
</t>
    </r>
    <r>
      <rPr>
        <b/>
        <sz val="12"/>
        <rFont val="Times New Roman"/>
        <family val="1"/>
      </rPr>
      <t>Проектно-кошторисна документація на коригуванні.</t>
    </r>
  </si>
  <si>
    <r>
      <t xml:space="preserve">Будівля знаходисть в незадовільному стані, необхідно терміново виконати роботи з реконструкції покрівлі, реставрвції фасаду, заміни інженерних мереж.
</t>
    </r>
    <r>
      <rPr>
        <b/>
        <sz val="12"/>
        <rFont val="Times New Roman"/>
        <family val="1"/>
      </rPr>
      <t>Проектно-кошторисна документація розробляється.</t>
    </r>
  </si>
  <si>
    <t>Виконання робіт з капітального ремонту покрівлі, інженерних мереж: електропостачання, водопостачання та водовідведення, системи опалення. Посилення фундаменту, стін, частково перекриття. Утеплення фасаду, заміна вікон та внутрішні оздоблювальні роботи.</t>
  </si>
  <si>
    <t xml:space="preserve">ПЕРЕЛІК
об’єктів і заходів, які пропонуються до фінансування за рахунок коштів бюджету розвитку обласного бюджету в 2018 році </t>
  </si>
  <si>
    <t>4719110
3142</t>
  </si>
  <si>
    <t>Реконструкція очисних споруд каналізації (ОСК) за адресою: смт Ольшанське, вул. Шкільна, 50 Миколаївського району, Миколаївської області</t>
  </si>
  <si>
    <t>Будівництво каналізаційних очисних споруд в ЦРЛ м. Нова Одесса Миколаївської області</t>
  </si>
  <si>
    <t>Реконструкція господарсько-побутової каналізації та очисних споруд каналізації м.Снігурівка</t>
  </si>
  <si>
    <t>Реконструкція споруд очищення стічних вод смт Березанка Березанського району Миколаївської області</t>
  </si>
  <si>
    <t>Реконструкція каналізаційної насосної станції та напірного колектора дитячого садка "Теремок" та загальноосвітньої школи № 1, смт Казанка</t>
  </si>
  <si>
    <t>ПКД, звіт від 17.03.2016 №15-0200-16</t>
  </si>
  <si>
    <t>замовник Новоодеська районна рада</t>
  </si>
  <si>
    <t>Знаходиться на експертизі</t>
  </si>
  <si>
    <r>
      <t xml:space="preserve">Забезпечення температурного режиму, створення комфорних умов для усіх учасників навчально-виховного процесу. Проектно-кошторисна документація розроблена та отримано позитивний висновок.
</t>
    </r>
    <r>
      <rPr>
        <b/>
        <sz val="12"/>
        <color indexed="10"/>
        <rFont val="Times New Roman"/>
        <family val="1"/>
      </rPr>
      <t>Надано до переліку ДФРР. с/ф 10%.</t>
    </r>
  </si>
  <si>
    <r>
      <rPr>
        <b/>
        <sz val="12"/>
        <rFont val="Times New Roman"/>
        <family val="1"/>
      </rPr>
      <t>Коригуванняя проектно-кошторисної документації.</t>
    </r>
    <r>
      <rPr>
        <sz val="12"/>
        <rFont val="Times New Roman"/>
        <family val="1"/>
      </rPr>
      <t xml:space="preserve"> Будівництво на території Мішково-Погорілівської загальноосвітньої санаторної школи-інтернату І-ІІІ ступенів відкритого комбінованого спортивного майданчика зі штучним покриттям, який значно поліпшить стан матеріально-технічної бази навчального закладу і надасть можливість проводити різноманітні навчальні, оздоровчі, розвивальні, профілактичні і відновлювальні заходи з учнями з малими та затухаючими формами туберкульозу на свіжому повітрі протягом  усього навчального року та сприятиме більш ефективній реалізації засвоєння учнями всіх модулів навчальної програми.</t>
    </r>
    <r>
      <rPr>
        <sz val="12"/>
        <color indexed="10"/>
        <rFont val="Times New Roman"/>
        <family val="1"/>
      </rPr>
      <t xml:space="preserve">
</t>
    </r>
    <r>
      <rPr>
        <b/>
        <sz val="12"/>
        <color indexed="10"/>
        <rFont val="Times New Roman"/>
        <family val="1"/>
      </rPr>
      <t>Надано до переліку ДФРР. с/ф 10%.</t>
    </r>
  </si>
  <si>
    <t>Комунальний заклад  «Миколаївський центр 
соціально-психологічної реабілітації дітей» Миколаївської обласної ради
Разом</t>
  </si>
  <si>
    <r>
      <rPr>
        <b/>
        <sz val="12"/>
        <rFont val="Times New Roman"/>
        <family val="1"/>
      </rPr>
      <t>Виготовлення проектно-кошторисної документації.</t>
    </r>
    <r>
      <rPr>
        <sz val="12"/>
        <rFont val="Times New Roman"/>
        <family val="1"/>
      </rPr>
      <t xml:space="preserve">
Будівля закладу знаходиться в аварійному стані. Необхідно терміново провести капітальний ремонт інженерних мереж: систем енергопостачання, ваопостачання та водовідведення, теплопостачання. В аварійному стані перебуває система протипожежного захисту будівлі. Їдальня  та кухня не відповідають санітарним вимогам, що може привести до закриття вцілому закладу.
 Центр отримав попередження Головного Управління Державної Служби України з Надзвичайних Ситуацій У Миколаївській області  та Головного Управління Держпродспоживслужби в Миколаївській області про негайне  усунення порушень  та проведення  капітального ремонту будівлі. У разі невиконання приписів , заклад буде закрито.</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</si>
  <si>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котельні, в т.ч.заміна 2 котлів, насосів.
Незадовідьний технічний стан котельні та котельного обладнання.</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</si>
  <si>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приміщень харчоблоку - кухні та залу столової.
Аварійний стан будівлі харчоблоку.</t>
    </r>
  </si>
  <si>
    <t xml:space="preserve">Завершення виконання робіт з реконструкції харчоблоку (загальнобудівельні та оздоблювальні роботи). Закінчення монтажу внутрішніх мереж горячої та холодної води та встановлення санфаянсу в головносу корпусі та терапії.
</t>
  </si>
  <si>
    <t>ПКД,
експ.від 12.09.17</t>
  </si>
  <si>
    <t>Будівництво другого поверху будівлі пристрою для складських приміщень (костюмерний цех).</t>
  </si>
  <si>
    <r>
      <t xml:space="preserve">Виконання робіт з реконструкції буде сприяти створенню безпечних, належних саніторно-гігієнічних умов в закладі  у відповідності ДБН та ДСТУ. 
Дасть можливість економії бюджетних коштів на опаленні та забезпечить належний рівень надання послуг в загальноосвітніх навчальних закладах.
</t>
    </r>
    <r>
      <rPr>
        <b/>
        <sz val="12"/>
        <rFont val="Times New Roman"/>
        <family val="1"/>
      </rPr>
      <t>Проектно-кошторисна документація в стадії коригування УКБ.</t>
    </r>
  </si>
  <si>
    <t>Капітальний ремонт м'якої покрівлі складських будівель складу № 1082 по вул. Гагаріна, 21 у м. Миколаєві</t>
  </si>
  <si>
    <r>
      <rPr>
        <b/>
        <sz val="12"/>
        <rFont val="Times New Roman"/>
        <family val="1"/>
      </rPr>
      <t>В</t>
    </r>
    <r>
      <rPr>
        <sz val="12"/>
        <rFont val="Times New Roman"/>
        <family val="1"/>
      </rPr>
      <t>иконання робіт по заміні рулонного покрівельного шару та часткового ремонту оздоблення приміщень, які пошкоджені при неодноразовому замоканні.
Реалізація проекту надасть можливість якісному зберіганню медичних препаратів.</t>
    </r>
  </si>
  <si>
    <r>
      <t>Реконструкція радіологічного блоку Миколаївського обласного онкологічного диспансеру по вул.Миколаївській, 18, м.Миколаїв</t>
    </r>
    <r>
      <rPr>
        <sz val="12"/>
        <color indexed="10"/>
        <rFont val="Times New Roman"/>
        <family val="1"/>
      </rPr>
      <t xml:space="preserve"> (в т.ч. виготовлення проектно-кошторисної документації та проведення експертизи)</t>
    </r>
  </si>
  <si>
    <r>
      <rPr>
        <b/>
        <sz val="12"/>
        <rFont val="Times New Roman"/>
        <family val="1"/>
      </rPr>
      <t>Виготовлення проектно-кошторисної документації</t>
    </r>
    <r>
      <rPr>
        <sz val="12"/>
        <rFont val="Times New Roman"/>
        <family val="1"/>
      </rPr>
      <t xml:space="preserve"> та виконання робіт з реконструкції
Будівля в аварійному стані. Приведення будівлі до санітарних вимог, у т.ч. з енергоефективності та  доступу маломобільних груп населення.</t>
    </r>
  </si>
  <si>
    <t>Капітальний ремонт комунального закладу  «Миколаївський центр соціально-психологічної реабілітації дітей» Миколаївської обласної ради за адресою: вул. Новобузька, 97, м.Миколаів</t>
  </si>
  <si>
    <t>Виконувач обов’язків начальника управління капітального будівництва облдержадміністрації</t>
  </si>
  <si>
    <t>Реконструкція господарсько-побутової каналізації та очисних споруд каналізації м.Снігурівка Миколаївської області (в тому числі коригування проектно-кошторисної документації та проведення експертизи)</t>
  </si>
  <si>
    <t>Реконструкція споруд очищення стічних вод смт. Березанка Миколаївської області (в тому числі коригування проектно-кошторисної документації та проведення експертизи)</t>
  </si>
  <si>
    <t>Реконструкція дамби - переїзду ставка на території Баштанської міської ради Баштанського району Миколаївської області (в тому числі коригування проектно-кошторисної документації та проведення експертизи)</t>
  </si>
  <si>
    <t>Реконструкція каналізаційної насосоної станції Миколаївської  загальноосвітньої школи-інтернату І- ІІІ ступенів № 6 Миколаївської обласної ради по вул. Рибна, 95 у м.Миколаєві (в тому числі коригування проектно-кошторисної документації та проведення експертизи)</t>
  </si>
  <si>
    <t>Реконструкція станції повної біологічної очистки по вул.Мельничній, 1 у м.Нова Одеса Новоодеського району Миколаївської області</t>
  </si>
  <si>
    <t>Реконструкція каналізаційної насосної станції та напірного колектору дитячого садка "Теремок" та загальноосвітньої школи № 1, смт Казанка (в тому числі коригування проектно-кошторисної документації та проведення експертизи)</t>
  </si>
  <si>
    <t>1518340
3142</t>
  </si>
  <si>
    <t>1518340
3210</t>
  </si>
  <si>
    <t xml:space="preserve">ПЕРЕЛІК
об’єктів і заходів, які пропонуються до фінансування за рахунок коштів обласного цільового фонду охорони навколишнього природного середовища обласного бюджету в 2019 році </t>
  </si>
  <si>
    <t>Код Типової програмної класифікації видатків та кредитування місцевих
бюджетів</t>
  </si>
  <si>
    <t>Найменування об'єкта відповідно до проектно- кошторисної документації</t>
  </si>
  <si>
    <t>Строк
реалізації об'єкта (рік
початку і завершення)</t>
  </si>
  <si>
    <t>Обсяг видатків
бюджету розвитку, гривень</t>
  </si>
  <si>
    <t xml:space="preserve">Загальна вартість об'єкта, гривень </t>
  </si>
  <si>
    <t>Рівень
будівельної готовності об'єкта на кінець
бюджетного періоду, %</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</si>
  <si>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</si>
  <si>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</si>
  <si>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 / відповідального виконавця, найменування бюджетної програми/підпрограми
згідно з Типовою програмною класифікацією
видатків та кредитування місцевих бюджетів</t>
  </si>
  <si>
    <t>0540</t>
  </si>
  <si>
    <t xml:space="preserve"> 1518340</t>
  </si>
  <si>
    <t xml:space="preserve"> 8340</t>
  </si>
  <si>
    <t>Зміни
(+, -)</t>
  </si>
  <si>
    <t>Видатки з урахуванням змін</t>
  </si>
  <si>
    <t>Управління капітального будівництва облдержадміністрації</t>
  </si>
  <si>
    <t>Код Типової програмної класифікації видатків та кредитування місцевого бюджету</t>
  </si>
  <si>
    <t>(код бюджету)</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</si>
  <si>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</si>
  <si>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</si>
  <si>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Заступник міського голови з питань діяльності виконавчих органів ради</t>
  </si>
  <si>
    <t>Світлана  ЄВДОЩЕНКО</t>
  </si>
  <si>
    <t>Код Функціональної класифікації видатків та кредитування бюджету</t>
  </si>
  <si>
    <t>Найменування інвестиційного прооекту</t>
  </si>
  <si>
    <t>Загальний період реалізації проекту, (рік початку і завершення)</t>
  </si>
  <si>
    <t>Загальна вартість проекту, гривень</t>
  </si>
  <si>
    <t>Обсяг капітальних вкладень місцевого бюджету всього, гривень</t>
  </si>
  <si>
    <t>Додаток 5</t>
  </si>
  <si>
    <t xml:space="preserve">до рішення міської ради                            </t>
  </si>
  <si>
    <t xml:space="preserve">                                                                                      2021 р. №</t>
  </si>
  <si>
    <t>Додаток 6</t>
  </si>
  <si>
    <t>0117330</t>
  </si>
  <si>
    <t>0443</t>
  </si>
  <si>
    <t>Будівництво інших об"єктів комунальної власності</t>
  </si>
  <si>
    <t xml:space="preserve">до рішення міської ради            </t>
  </si>
  <si>
    <t>Обсяг капітальних вкладень місцевого бюджету у 2023 році, гривень</t>
  </si>
  <si>
    <t>Очікуваний рівень готовності проекту на кінець 2023 року, %</t>
  </si>
  <si>
    <t xml:space="preserve">                    2023 №</t>
  </si>
  <si>
    <t xml:space="preserve">Обсяги капітальних вкладень бюджету Баштанської міської територіальної громади у розрізі інвестиційних проектів у 2024 році
</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</si>
</sst>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
    <numFmt numFmtId="193" formatCode="0.0"/>
    <numFmt numFmtId="194" formatCode="0.0000"/>
    <numFmt numFmtId="195" formatCode="0.000%"/>
    <numFmt numFmtId="196" formatCode="0.0%"/>
    <numFmt numFmtId="197" formatCode="_-* #,##0.000_р_._-;\-* #,##0.000_р_._-;_-* &quot;-&quot;??_р_._-;_-@_-"/>
    <numFmt numFmtId="198" formatCode="_-* #,##0.0_р_._-;\-* #,##0.0_р_._-;_-* &quot;-&quot;??_р_._-;_-@_-"/>
    <numFmt numFmtId="199" formatCode="[$-FC19]d\ mmmm\ yyyy\ &quot;г.&quot;"/>
    <numFmt numFmtId="200" formatCode="0.00000"/>
    <numFmt numFmtId="201" formatCode="0.000000"/>
    <numFmt numFmtId="202" formatCode="#,##0.000"/>
    <numFmt numFmtId="203" formatCode="#,##0.0"/>
    <numFmt numFmtId="204" formatCode="#,##0.000_ ;[Red]\-#,##0.000\ "/>
    <numFmt numFmtId="205" formatCode="#,##0.0000"/>
    <numFmt numFmtId="206" formatCode="#,##0.00000"/>
    <numFmt numFmtId="207" formatCode="#,##0.000000"/>
  </numFmts>
  <fonts count="57">
    <font>
      <sz val="10"/>
      <name val="Arial Cyr"/>
      <family val="0"/>
    </font>
    <font>
      <sz val="8"/>
      <name val="Arial Cyr"/>
      <family val="0"/>
    </font>
    <font>
      <u val="single"/>
      <sz val="10"/>
      <color indexed="12"/>
      <name val="Arial Cyr"/>
      <family val="0"/>
    </font>
    <font>
      <u val="single"/>
      <sz val="10"/>
      <color indexed="36"/>
      <name val="Arial Cyr"/>
      <family val="0"/>
    </font>
    <font>
      <b/>
      <sz val="12"/>
      <name val="Times New Roman"/>
      <family val="1"/>
    </font>
    <font>
      <sz val="12"/>
      <name val="Times New Roman"/>
      <family val="1"/>
    </font>
    <font>
      <sz val="12"/>
      <name val="Arial Cyr"/>
      <family val="0"/>
    </font>
    <font>
      <sz val="11"/>
      <name val="Times New Roman"/>
      <family val="1"/>
    </font>
    <font>
      <b/>
      <sz val="11"/>
      <name val="Times New Roman"/>
      <family val="1"/>
    </font>
    <font>
      <i/>
      <sz val="12"/>
      <name val="Times New Roman"/>
      <family val="1"/>
    </font>
    <font>
      <b/>
      <sz val="12"/>
      <name val="Arial Cyr"/>
      <family val="0"/>
    </font>
    <font>
      <sz val="12"/>
      <color indexed="10"/>
      <name val="Times New Roman"/>
      <family val="1"/>
    </font>
    <font>
      <sz val="11"/>
      <name val="Arial Cyr"/>
      <family val="0"/>
    </font>
    <font>
      <b/>
      <sz val="10"/>
      <name val="Times New Roman"/>
      <family val="1"/>
    </font>
    <font>
      <vertAlign val="superscript"/>
      <sz val="12"/>
      <name val="Times New Roman"/>
      <family val="1"/>
    </font>
    <font>
      <b/>
      <sz val="12"/>
      <color indexed="10"/>
      <name val="Times New Roman"/>
      <family val="1"/>
    </font>
    <font>
      <b/>
      <sz val="14"/>
      <name val="Times New Roman"/>
      <family val="1"/>
    </font>
    <font>
      <sz val="14"/>
      <name val="Times New Roman"/>
      <family val="1"/>
    </font>
    <font>
      <b/>
      <u val="single"/>
      <sz val="14"/>
      <name val="Times New Roman"/>
      <family val="1"/>
    </font>
    <font>
      <b/>
      <sz val="10"/>
      <name val="Arial Cyr"/>
      <family val="0"/>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2"/>
      <color rgb="FFFF0000"/>
      <name val="Times New Roman"/>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FFCC66"/>
        <bgColor indexed="64"/>
      </patternFill>
    </fill>
    <fill>
      <patternFill patternType="solid">
        <fgColor rgb="FFFFC000"/>
        <bgColor indexed="64"/>
      </patternFill>
    </fill>
    <fill>
      <patternFill patternType="solid">
        <fgColor rgb="FF92D05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1" applyNumberFormat="0" applyAlignment="0" applyProtection="0"/>
    <xf numFmtId="0" fontId="41" fillId="26" borderId="2" applyNumberFormat="0" applyAlignment="0" applyProtection="0"/>
    <xf numFmtId="0" fontId="42" fillId="26" borderId="1" applyNumberFormat="0" applyAlignment="0" applyProtection="0"/>
    <xf numFmtId="0" fontId="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0" fillId="0" borderId="0">
      <alignment/>
      <protection/>
    </xf>
    <xf numFmtId="0" fontId="46" fillId="0" borderId="6" applyNumberFormat="0" applyFill="0" applyAlignment="0" applyProtection="0"/>
    <xf numFmtId="0" fontId="47" fillId="27" borderId="7" applyNumberFormat="0" applyAlignment="0" applyProtection="0"/>
    <xf numFmtId="0" fontId="48" fillId="0" borderId="0" applyNumberFormat="0" applyFill="0" applyBorder="0" applyAlignment="0" applyProtection="0"/>
    <xf numFmtId="0" fontId="49" fillId="28" borderId="0" applyNumberFormat="0" applyBorder="0" applyAlignment="0" applyProtection="0"/>
    <xf numFmtId="0" fontId="3"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4" fillId="31" borderId="0" applyNumberFormat="0" applyBorder="0" applyAlignment="0" applyProtection="0"/>
  </cellStyleXfs>
  <cellXfs count="164">
    <xf numFmtId="0" fontId="0" fillId="0" borderId="0" xfId="0" applyAlignment="1">
      <alignment/>
    </xf>
    <xf numFmtId="0" fontId="5" fillId="0" borderId="10" xfId="0" applyFont="1" applyFill="1" applyBorder="1" applyAlignment="1">
      <alignment horizontal="center" vertical="center"/>
    </xf>
    <xf numFmtId="0" fontId="4" fillId="0" borderId="11" xfId="0" applyFont="1" applyFill="1" applyBorder="1" applyAlignment="1">
      <alignment vertical="top" wrapText="1"/>
    </xf>
    <xf numFmtId="0" fontId="4" fillId="0" borderId="10" xfId="0" applyFont="1" applyFill="1" applyBorder="1" applyAlignment="1">
      <alignment horizontal="center" vertical="center" wrapText="1"/>
    </xf>
    <xf numFmtId="0" fontId="6" fillId="0" borderId="0" xfId="0" applyFont="1" applyFill="1" applyBorder="1" applyAlignment="1">
      <alignment/>
    </xf>
    <xf numFmtId="0" fontId="4" fillId="0" borderId="11" xfId="0" applyFont="1" applyFill="1" applyBorder="1" applyAlignment="1">
      <alignment horizontal="justify" vertical="top" wrapText="1"/>
    </xf>
    <xf numFmtId="0" fontId="5" fillId="0" borderId="10" xfId="0" applyFont="1" applyFill="1" applyBorder="1" applyAlignment="1">
      <alignment horizontal="justify" vertical="center" wrapText="1"/>
    </xf>
    <xf numFmtId="192" fontId="5" fillId="0" borderId="10" xfId="0" applyNumberFormat="1" applyFont="1" applyFill="1" applyBorder="1" applyAlignment="1">
      <alignment horizontal="center" vertical="center" wrapText="1"/>
    </xf>
    <xf numFmtId="0" fontId="6" fillId="0" borderId="0" xfId="0" applyFont="1" applyFill="1" applyBorder="1" applyAlignment="1">
      <alignment horizontal="justify"/>
    </xf>
    <xf numFmtId="193" fontId="5" fillId="0" borderId="10" xfId="0" applyNumberFormat="1" applyFont="1" applyFill="1" applyBorder="1" applyAlignment="1">
      <alignment horizontal="center" vertical="center" wrapText="1"/>
    </xf>
    <xf numFmtId="0" fontId="6" fillId="0" borderId="10" xfId="0" applyFont="1" applyFill="1" applyBorder="1" applyAlignment="1">
      <alignment/>
    </xf>
    <xf numFmtId="0" fontId="5" fillId="0" borderId="10" xfId="0" applyFont="1" applyFill="1" applyBorder="1" applyAlignment="1">
      <alignment horizontal="justify" vertical="top" wrapText="1"/>
    </xf>
    <xf numFmtId="0" fontId="4" fillId="0" borderId="12" xfId="0" applyFont="1" applyFill="1" applyBorder="1" applyAlignment="1">
      <alignment horizontal="center" vertical="center" wrapText="1"/>
    </xf>
    <xf numFmtId="202" fontId="6" fillId="0" borderId="0" xfId="0" applyNumberFormat="1" applyFont="1" applyFill="1" applyBorder="1" applyAlignment="1">
      <alignment/>
    </xf>
    <xf numFmtId="0" fontId="6" fillId="0" borderId="0" xfId="0" applyFont="1" applyFill="1" applyBorder="1" applyAlignment="1">
      <alignment vertical="center"/>
    </xf>
    <xf numFmtId="2" fontId="5" fillId="0" borderId="10" xfId="0" applyNumberFormat="1" applyFont="1" applyFill="1" applyBorder="1" applyAlignment="1">
      <alignment horizontal="justify" vertical="center" wrapText="1"/>
    </xf>
    <xf numFmtId="0" fontId="4" fillId="0" borderId="11" xfId="0" applyFont="1" applyFill="1" applyBorder="1" applyAlignment="1">
      <alignment horizontal="center" vertical="top" wrapText="1"/>
    </xf>
    <xf numFmtId="0" fontId="6" fillId="0" borderId="0" xfId="0" applyFont="1" applyFill="1" applyBorder="1" applyAlignment="1">
      <alignment horizontal="center"/>
    </xf>
    <xf numFmtId="0" fontId="5" fillId="0" borderId="0" xfId="0" applyFont="1" applyFill="1" applyBorder="1" applyAlignment="1">
      <alignment vertical="center" wrapText="1"/>
    </xf>
    <xf numFmtId="0" fontId="7" fillId="0" borderId="0" xfId="0" applyFont="1" applyFill="1" applyBorder="1" applyAlignment="1">
      <alignment vertical="center" wrapText="1"/>
    </xf>
    <xf numFmtId="202" fontId="5"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202" fontId="4" fillId="0" borderId="10" xfId="0" applyNumberFormat="1" applyFont="1" applyFill="1" applyBorder="1" applyAlignment="1">
      <alignment horizontal="center" vertical="center" wrapText="1"/>
    </xf>
    <xf numFmtId="202" fontId="5" fillId="32" borderId="10" xfId="0" applyNumberFormat="1" applyFont="1" applyFill="1" applyBorder="1" applyAlignment="1">
      <alignment horizontal="center" vertical="center" wrapText="1"/>
    </xf>
    <xf numFmtId="0" fontId="4" fillId="0" borderId="10" xfId="0" applyFont="1" applyFill="1" applyBorder="1" applyAlignment="1">
      <alignment horizontal="justify" vertical="center" wrapText="1"/>
    </xf>
    <xf numFmtId="0" fontId="5" fillId="32" borderId="10" xfId="0" applyFont="1" applyFill="1" applyBorder="1" applyAlignment="1">
      <alignment horizontal="justify" vertical="center" wrapText="1"/>
    </xf>
    <xf numFmtId="0" fontId="4" fillId="32" borderId="10" xfId="0" applyFont="1" applyFill="1" applyBorder="1" applyAlignment="1">
      <alignment horizontal="justify" vertical="top" wrapText="1"/>
    </xf>
    <xf numFmtId="0" fontId="4" fillId="0" borderId="10" xfId="0" applyFont="1" applyFill="1" applyBorder="1" applyAlignment="1">
      <alignment horizontal="justify" vertical="top" wrapText="1"/>
    </xf>
    <xf numFmtId="192" fontId="5" fillId="32" borderId="10" xfId="0" applyNumberFormat="1" applyFont="1" applyFill="1" applyBorder="1" applyAlignment="1">
      <alignment horizontal="center" vertical="center" wrapText="1"/>
    </xf>
    <xf numFmtId="193" fontId="5" fillId="32" borderId="10" xfId="0" applyNumberFormat="1" applyFont="1" applyFill="1" applyBorder="1" applyAlignment="1">
      <alignment horizontal="center" vertical="center" wrapText="1"/>
    </xf>
    <xf numFmtId="0" fontId="4" fillId="0" borderId="0" xfId="0" applyFont="1" applyFill="1" applyBorder="1" applyAlignment="1">
      <alignment vertical="top" wrapText="1"/>
    </xf>
    <xf numFmtId="0" fontId="5" fillId="0" borderId="10" xfId="0" applyFont="1" applyBorder="1" applyAlignment="1">
      <alignment horizontal="justify"/>
    </xf>
    <xf numFmtId="192" fontId="5" fillId="0" borderId="0" xfId="0" applyNumberFormat="1" applyFont="1" applyFill="1" applyBorder="1" applyAlignment="1">
      <alignment horizontal="center" vertical="center" wrapText="1"/>
    </xf>
    <xf numFmtId="193" fontId="5" fillId="0" borderId="10" xfId="0" applyNumberFormat="1" applyFont="1" applyFill="1" applyBorder="1" applyAlignment="1">
      <alignment horizontal="justify" vertical="center" wrapText="1"/>
    </xf>
    <xf numFmtId="0" fontId="6" fillId="0" borderId="11" xfId="0" applyFont="1" applyFill="1" applyBorder="1" applyAlignment="1">
      <alignment horizontal="center"/>
    </xf>
    <xf numFmtId="0" fontId="6" fillId="0" borderId="11" xfId="0" applyFont="1" applyFill="1" applyBorder="1" applyAlignment="1">
      <alignment horizontal="justify"/>
    </xf>
    <xf numFmtId="0" fontId="6" fillId="0" borderId="11" xfId="0" applyFont="1" applyFill="1" applyBorder="1" applyAlignment="1">
      <alignment/>
    </xf>
    <xf numFmtId="0" fontId="5" fillId="33" borderId="10" xfId="0" applyFont="1" applyFill="1" applyBorder="1" applyAlignment="1">
      <alignment horizontal="justify" vertical="center" wrapText="1"/>
    </xf>
    <xf numFmtId="202" fontId="55" fillId="0" borderId="10" xfId="0" applyNumberFormat="1" applyFont="1" applyFill="1" applyBorder="1" applyAlignment="1">
      <alignment horizontal="center" vertical="center" wrapText="1"/>
    </xf>
    <xf numFmtId="0" fontId="55" fillId="0" borderId="10" xfId="0" applyFont="1" applyFill="1" applyBorder="1" applyAlignment="1">
      <alignment horizontal="justify" vertical="top" wrapText="1"/>
    </xf>
    <xf numFmtId="202" fontId="4" fillId="32" borderId="10" xfId="0" applyNumberFormat="1" applyFont="1" applyFill="1" applyBorder="1" applyAlignment="1">
      <alignment horizontal="center" vertical="center" wrapText="1"/>
    </xf>
    <xf numFmtId="0" fontId="4" fillId="32" borderId="11" xfId="0" applyFont="1" applyFill="1" applyBorder="1" applyAlignment="1">
      <alignment vertical="top" wrapText="1"/>
    </xf>
    <xf numFmtId="0" fontId="4" fillId="32" borderId="12"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6" fillId="32" borderId="0" xfId="0" applyFont="1" applyFill="1" applyBorder="1" applyAlignment="1">
      <alignment/>
    </xf>
    <xf numFmtId="0" fontId="8" fillId="0" borderId="10" xfId="0" applyFont="1" applyFill="1" applyBorder="1" applyAlignment="1">
      <alignment horizontal="center" vertical="center" wrapText="1"/>
    </xf>
    <xf numFmtId="0" fontId="7" fillId="0" borderId="10" xfId="0" applyFont="1" applyFill="1" applyBorder="1" applyAlignment="1">
      <alignment horizontal="justify" vertical="center" wrapText="1"/>
    </xf>
    <xf numFmtId="202" fontId="7" fillId="32" borderId="10" xfId="0" applyNumberFormat="1" applyFont="1" applyFill="1" applyBorder="1" applyAlignment="1">
      <alignment horizontal="center" vertical="center" wrapText="1"/>
    </xf>
    <xf numFmtId="193" fontId="7" fillId="0" borderId="10" xfId="0" applyNumberFormat="1" applyFont="1" applyFill="1" applyBorder="1" applyAlignment="1">
      <alignment horizontal="center" vertical="center" wrapText="1"/>
    </xf>
    <xf numFmtId="0" fontId="8" fillId="0" borderId="10" xfId="0" applyFont="1" applyFill="1" applyBorder="1" applyAlignment="1">
      <alignment horizontal="justify"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justify" vertical="center" wrapText="1"/>
    </xf>
    <xf numFmtId="0" fontId="6" fillId="32" borderId="0" xfId="0" applyFont="1" applyFill="1" applyBorder="1" applyAlignment="1">
      <alignment vertical="center"/>
    </xf>
    <xf numFmtId="0" fontId="8" fillId="0" borderId="12" xfId="0" applyFont="1" applyFill="1" applyBorder="1" applyAlignment="1">
      <alignment horizontal="center" vertical="center" wrapText="1"/>
    </xf>
    <xf numFmtId="0" fontId="12" fillId="0" borderId="0" xfId="0" applyFont="1" applyFill="1" applyBorder="1" applyAlignment="1">
      <alignment/>
    </xf>
    <xf numFmtId="1" fontId="5" fillId="32" borderId="10" xfId="0" applyNumberFormat="1" applyFont="1" applyFill="1" applyBorder="1" applyAlignment="1">
      <alignment horizontal="center" vertical="center" wrapText="1"/>
    </xf>
    <xf numFmtId="2" fontId="5" fillId="32" borderId="1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6" fillId="0" borderId="0" xfId="0" applyFont="1" applyFill="1" applyBorder="1" applyAlignment="1">
      <alignment horizontal="center" vertical="center"/>
    </xf>
    <xf numFmtId="0" fontId="13" fillId="0" borderId="12" xfId="0" applyFont="1" applyFill="1" applyBorder="1" applyAlignment="1">
      <alignment horizontal="center" vertical="center" textRotation="90" wrapText="1"/>
    </xf>
    <xf numFmtId="0" fontId="5" fillId="32" borderId="10" xfId="0" applyFont="1" applyFill="1" applyBorder="1" applyAlignment="1">
      <alignment horizontal="center" vertical="center"/>
    </xf>
    <xf numFmtId="0" fontId="5" fillId="32" borderId="10" xfId="0" applyFont="1" applyFill="1" applyBorder="1" applyAlignment="1">
      <alignment horizontal="justify" vertical="top" wrapText="1"/>
    </xf>
    <xf numFmtId="2" fontId="5" fillId="32" borderId="10" xfId="0" applyNumberFormat="1" applyFont="1" applyFill="1" applyBorder="1" applyAlignment="1">
      <alignment horizontal="justify" vertical="center" wrapText="1"/>
    </xf>
    <xf numFmtId="0" fontId="5" fillId="32" borderId="10" xfId="0" applyFont="1" applyFill="1" applyBorder="1" applyAlignment="1">
      <alignment horizontal="center" vertical="center" wrapText="1"/>
    </xf>
    <xf numFmtId="0" fontId="4" fillId="32" borderId="10" xfId="0" applyFont="1" applyFill="1" applyBorder="1" applyAlignment="1">
      <alignment horizontal="justify" vertical="center" wrapText="1"/>
    </xf>
    <xf numFmtId="194" fontId="5" fillId="32" borderId="10" xfId="0" applyNumberFormat="1" applyFont="1" applyFill="1" applyBorder="1" applyAlignment="1">
      <alignment horizontal="center" vertical="center" wrapText="1"/>
    </xf>
    <xf numFmtId="0" fontId="5" fillId="32" borderId="10" xfId="0" applyFont="1" applyFill="1" applyBorder="1" applyAlignment="1">
      <alignment vertical="center" wrapText="1"/>
    </xf>
    <xf numFmtId="2" fontId="4" fillId="32" borderId="10" xfId="0" applyNumberFormat="1" applyFont="1" applyFill="1" applyBorder="1" applyAlignment="1">
      <alignment horizontal="center" vertical="center" wrapText="1"/>
    </xf>
    <xf numFmtId="193" fontId="5" fillId="32" borderId="10" xfId="0" applyNumberFormat="1" applyFont="1" applyFill="1" applyBorder="1" applyAlignment="1">
      <alignment horizontal="justify" vertical="center" wrapText="1"/>
    </xf>
    <xf numFmtId="3" fontId="4" fillId="34" borderId="10" xfId="0" applyNumberFormat="1" applyFont="1" applyFill="1" applyBorder="1" applyAlignment="1">
      <alignment horizontal="center" vertical="center" wrapText="1"/>
    </xf>
    <xf numFmtId="0" fontId="4" fillId="34" borderId="10" xfId="0" applyFont="1" applyFill="1" applyBorder="1" applyAlignment="1">
      <alignment horizontal="center" vertical="center" wrapText="1"/>
    </xf>
    <xf numFmtId="202" fontId="4" fillId="34" borderId="10" xfId="0" applyNumberFormat="1" applyFont="1" applyFill="1" applyBorder="1" applyAlignment="1">
      <alignment horizontal="center" vertical="center" wrapText="1"/>
    </xf>
    <xf numFmtId="0" fontId="6" fillId="34" borderId="0" xfId="0" applyFont="1" applyFill="1" applyBorder="1" applyAlignment="1">
      <alignment/>
    </xf>
    <xf numFmtId="0" fontId="5" fillId="32" borderId="10" xfId="0" applyFont="1" applyFill="1" applyBorder="1" applyAlignment="1">
      <alignment horizontal="left" vertical="center" wrapText="1"/>
    </xf>
    <xf numFmtId="0" fontId="8" fillId="32" borderId="12" xfId="0" applyFont="1" applyFill="1" applyBorder="1" applyAlignment="1">
      <alignment horizontal="center" vertical="center" wrapText="1"/>
    </xf>
    <xf numFmtId="0" fontId="13" fillId="32" borderId="12" xfId="0" applyFont="1" applyFill="1" applyBorder="1" applyAlignment="1">
      <alignment horizontal="center" vertical="center" textRotation="90" wrapText="1"/>
    </xf>
    <xf numFmtId="0" fontId="5" fillId="32" borderId="0" xfId="0" applyFont="1" applyFill="1" applyBorder="1" applyAlignment="1">
      <alignment horizontal="center" vertical="center"/>
    </xf>
    <xf numFmtId="0" fontId="4" fillId="32" borderId="0" xfId="0" applyFont="1" applyFill="1" applyBorder="1" applyAlignment="1">
      <alignment horizontal="center" vertical="center" wrapText="1"/>
    </xf>
    <xf numFmtId="0" fontId="5" fillId="32" borderId="0" xfId="0" applyFont="1" applyFill="1" applyBorder="1" applyAlignment="1">
      <alignment horizontal="justify" vertical="center" wrapText="1"/>
    </xf>
    <xf numFmtId="0" fontId="5" fillId="32" borderId="0" xfId="0" applyFont="1" applyFill="1" applyBorder="1" applyAlignment="1">
      <alignment horizontal="center" vertical="center" wrapText="1"/>
    </xf>
    <xf numFmtId="1" fontId="5" fillId="32" borderId="0" xfId="0" applyNumberFormat="1" applyFont="1" applyFill="1" applyBorder="1" applyAlignment="1">
      <alignment horizontal="center" vertical="center" wrapText="1"/>
    </xf>
    <xf numFmtId="193" fontId="5" fillId="32" borderId="0" xfId="0" applyNumberFormat="1" applyFont="1" applyFill="1" applyBorder="1" applyAlignment="1">
      <alignment horizontal="center" vertical="center" wrapText="1"/>
    </xf>
    <xf numFmtId="202" fontId="5" fillId="32" borderId="0" xfId="0" applyNumberFormat="1" applyFont="1" applyFill="1" applyBorder="1" applyAlignment="1">
      <alignment horizontal="center" vertical="center" wrapText="1"/>
    </xf>
    <xf numFmtId="202" fontId="5" fillId="32" borderId="10" xfId="0" applyNumberFormat="1" applyFont="1" applyFill="1" applyBorder="1" applyAlignment="1">
      <alignment horizontal="left" vertical="center" wrapText="1"/>
    </xf>
    <xf numFmtId="0" fontId="5" fillId="32" borderId="10" xfId="0" applyNumberFormat="1" applyFont="1" applyFill="1" applyBorder="1" applyAlignment="1">
      <alignment horizontal="left" vertical="center" wrapText="1"/>
    </xf>
    <xf numFmtId="0" fontId="4" fillId="35" borderId="10" xfId="0" applyFont="1" applyFill="1" applyBorder="1" applyAlignment="1">
      <alignment horizontal="center" vertical="center" wrapText="1"/>
    </xf>
    <xf numFmtId="0" fontId="4" fillId="35" borderId="10" xfId="0" applyFont="1" applyFill="1" applyBorder="1" applyAlignment="1">
      <alignment horizontal="justify" vertical="center" wrapText="1"/>
    </xf>
    <xf numFmtId="0" fontId="4" fillId="35" borderId="10" xfId="0" applyFont="1" applyFill="1" applyBorder="1" applyAlignment="1">
      <alignment horizontal="center" vertical="center"/>
    </xf>
    <xf numFmtId="1" fontId="4" fillId="35" borderId="10" xfId="0" applyNumberFormat="1" applyFont="1" applyFill="1" applyBorder="1" applyAlignment="1">
      <alignment horizontal="center" vertical="center" wrapText="1"/>
    </xf>
    <xf numFmtId="202" fontId="4" fillId="35" borderId="10" xfId="0" applyNumberFormat="1" applyFont="1" applyFill="1" applyBorder="1" applyAlignment="1">
      <alignment horizontal="center" vertical="center" wrapText="1"/>
    </xf>
    <xf numFmtId="193" fontId="4" fillId="35" borderId="10" xfId="0" applyNumberFormat="1" applyFont="1" applyFill="1" applyBorder="1" applyAlignment="1">
      <alignment horizontal="center" vertical="center" wrapText="1"/>
    </xf>
    <xf numFmtId="0" fontId="10" fillId="35" borderId="0" xfId="0" applyFont="1" applyFill="1" applyBorder="1" applyAlignment="1">
      <alignment vertical="center"/>
    </xf>
    <xf numFmtId="194" fontId="5" fillId="32" borderId="10" xfId="0" applyNumberFormat="1" applyFont="1" applyFill="1" applyBorder="1" applyAlignment="1">
      <alignment horizontal="left" vertical="center" wrapText="1"/>
    </xf>
    <xf numFmtId="192" fontId="5" fillId="32" borderId="0" xfId="0" applyNumberFormat="1" applyFont="1" applyFill="1" applyBorder="1" applyAlignment="1">
      <alignment horizontal="center" vertical="center" wrapText="1"/>
    </xf>
    <xf numFmtId="0" fontId="4" fillId="0" borderId="11" xfId="0" applyFont="1" applyFill="1" applyBorder="1" applyAlignment="1">
      <alignment vertical="center" wrapText="1"/>
    </xf>
    <xf numFmtId="0" fontId="5" fillId="0" borderId="10" xfId="0" applyFont="1" applyBorder="1" applyAlignment="1">
      <alignment horizontal="left" vertical="top" wrapText="1"/>
    </xf>
    <xf numFmtId="2" fontId="56" fillId="32" borderId="10" xfId="0" applyNumberFormat="1" applyFont="1" applyFill="1" applyBorder="1" applyAlignment="1">
      <alignment horizontal="center" vertical="center" wrapText="1"/>
    </xf>
    <xf numFmtId="0" fontId="56" fillId="32" borderId="10" xfId="0" applyFont="1" applyFill="1" applyBorder="1" applyAlignment="1">
      <alignment horizontal="center" vertical="center" wrapText="1"/>
    </xf>
    <xf numFmtId="202" fontId="55" fillId="32" borderId="10" xfId="0" applyNumberFormat="1" applyFont="1" applyFill="1" applyBorder="1" applyAlignment="1">
      <alignment horizontal="center" vertical="center" wrapText="1"/>
    </xf>
    <xf numFmtId="202" fontId="56" fillId="32" borderId="10" xfId="0" applyNumberFormat="1" applyFont="1" applyFill="1" applyBorder="1" applyAlignment="1">
      <alignment horizontal="center" vertical="center" wrapText="1"/>
    </xf>
    <xf numFmtId="0" fontId="5" fillId="36" borderId="10" xfId="0" applyFont="1" applyFill="1" applyBorder="1" applyAlignment="1">
      <alignment horizontal="center" vertical="center"/>
    </xf>
    <xf numFmtId="0" fontId="4" fillId="36" borderId="10" xfId="0" applyFont="1" applyFill="1" applyBorder="1" applyAlignment="1">
      <alignment horizontal="center" vertical="center" wrapText="1"/>
    </xf>
    <xf numFmtId="2" fontId="5" fillId="36" borderId="10" xfId="0" applyNumberFormat="1" applyFont="1" applyFill="1" applyBorder="1" applyAlignment="1">
      <alignment horizontal="justify" vertical="center" wrapText="1"/>
    </xf>
    <xf numFmtId="2" fontId="5" fillId="36" borderId="10" xfId="0" applyNumberFormat="1" applyFont="1" applyFill="1" applyBorder="1" applyAlignment="1">
      <alignment horizontal="center" vertical="center" wrapText="1"/>
    </xf>
    <xf numFmtId="1" fontId="5" fillId="36" borderId="10" xfId="0" applyNumberFormat="1" applyFont="1" applyFill="1" applyBorder="1" applyAlignment="1">
      <alignment horizontal="center" vertical="center" wrapText="1"/>
    </xf>
    <xf numFmtId="202" fontId="5" fillId="36" borderId="10" xfId="0" applyNumberFormat="1" applyFont="1" applyFill="1" applyBorder="1" applyAlignment="1">
      <alignment horizontal="center" vertical="center" wrapText="1"/>
    </xf>
    <xf numFmtId="193" fontId="5" fillId="36" borderId="10" xfId="0" applyNumberFormat="1" applyFont="1" applyFill="1" applyBorder="1" applyAlignment="1">
      <alignment horizontal="center" vertical="center" wrapText="1"/>
    </xf>
    <xf numFmtId="202" fontId="56" fillId="36" borderId="10" xfId="0" applyNumberFormat="1" applyFont="1" applyFill="1" applyBorder="1" applyAlignment="1">
      <alignment horizontal="center" vertical="center" wrapText="1"/>
    </xf>
    <xf numFmtId="0" fontId="5" fillId="36" borderId="10" xfId="0" applyFont="1" applyFill="1" applyBorder="1" applyAlignment="1">
      <alignment horizontal="justify" vertical="center" wrapText="1"/>
    </xf>
    <xf numFmtId="0" fontId="6" fillId="36" borderId="0" xfId="0" applyFont="1" applyFill="1" applyBorder="1" applyAlignment="1">
      <alignment vertical="center"/>
    </xf>
    <xf numFmtId="194" fontId="5" fillId="36" borderId="10" xfId="0" applyNumberFormat="1" applyFont="1" applyFill="1" applyBorder="1" applyAlignment="1">
      <alignment horizontal="center" vertical="center" wrapText="1"/>
    </xf>
    <xf numFmtId="0" fontId="5" fillId="36" borderId="10" xfId="0" applyFont="1" applyFill="1" applyBorder="1" applyAlignment="1">
      <alignment vertical="center" wrapText="1"/>
    </xf>
    <xf numFmtId="0" fontId="5" fillId="36" borderId="10" xfId="0" applyFont="1" applyFill="1" applyBorder="1" applyAlignment="1">
      <alignment horizontal="left" vertical="center" wrapText="1"/>
    </xf>
    <xf numFmtId="193" fontId="5" fillId="36" borderId="10" xfId="0" applyNumberFormat="1" applyFont="1" applyFill="1" applyBorder="1" applyAlignment="1">
      <alignment horizontal="justify" vertical="center" wrapText="1"/>
    </xf>
    <xf numFmtId="192" fontId="5" fillId="36" borderId="10" xfId="0" applyNumberFormat="1" applyFont="1" applyFill="1" applyBorder="1" applyAlignment="1">
      <alignment horizontal="center" vertical="center" wrapText="1"/>
    </xf>
    <xf numFmtId="0" fontId="5" fillId="36"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3" xfId="0" applyFont="1" applyFill="1" applyBorder="1" applyAlignment="1">
      <alignment vertical="center" wrapText="1"/>
    </xf>
    <xf numFmtId="0" fontId="8" fillId="0" borderId="14" xfId="0" applyFont="1" applyFill="1" applyBorder="1" applyAlignment="1">
      <alignment vertical="center" wrapText="1"/>
    </xf>
    <xf numFmtId="0" fontId="7" fillId="0" borderId="12" xfId="0" applyFont="1" applyFill="1" applyBorder="1" applyAlignment="1">
      <alignment vertical="center" wrapText="1"/>
    </xf>
    <xf numFmtId="0" fontId="7" fillId="0" borderId="15" xfId="0" applyFont="1" applyFill="1" applyBorder="1" applyAlignment="1">
      <alignment vertical="center" wrapText="1"/>
    </xf>
    <xf numFmtId="0" fontId="7" fillId="0" borderId="16" xfId="0" applyFont="1" applyFill="1" applyBorder="1" applyAlignment="1">
      <alignment vertical="center" wrapText="1"/>
    </xf>
    <xf numFmtId="0" fontId="7" fillId="0" borderId="12" xfId="0" applyFont="1" applyFill="1" applyBorder="1" applyAlignment="1">
      <alignment horizontal="center" vertical="center" wrapText="1"/>
    </xf>
    <xf numFmtId="0" fontId="7" fillId="32" borderId="17" xfId="0" applyFont="1" applyFill="1" applyBorder="1" applyAlignment="1">
      <alignment vertical="center" wrapText="1"/>
    </xf>
    <xf numFmtId="0" fontId="7" fillId="32" borderId="18" xfId="0" applyFont="1" applyFill="1" applyBorder="1" applyAlignment="1">
      <alignment vertical="center" wrapText="1"/>
    </xf>
    <xf numFmtId="49" fontId="5" fillId="0" borderId="10" xfId="0" applyNumberFormat="1" applyFont="1" applyFill="1" applyBorder="1" applyAlignment="1">
      <alignment horizontal="center" vertical="center" wrapText="1"/>
    </xf>
    <xf numFmtId="0" fontId="4" fillId="0" borderId="0" xfId="0" applyFont="1" applyFill="1" applyBorder="1" applyAlignment="1">
      <alignment/>
    </xf>
    <xf numFmtId="0" fontId="4" fillId="0" borderId="0" xfId="0" applyFont="1" applyFill="1" applyBorder="1" applyAlignment="1">
      <alignment horizontal="center"/>
    </xf>
    <xf numFmtId="0" fontId="4" fillId="0" borderId="0" xfId="0" applyFont="1" applyFill="1" applyBorder="1" applyAlignment="1">
      <alignment horizontal="justify"/>
    </xf>
    <xf numFmtId="0" fontId="4" fillId="0" borderId="0" xfId="0" applyFont="1" applyFill="1" applyBorder="1" applyAlignment="1">
      <alignment horizontal="center" vertical="center"/>
    </xf>
    <xf numFmtId="0" fontId="12" fillId="32" borderId="0" xfId="0" applyFont="1" applyFill="1" applyBorder="1" applyAlignment="1">
      <alignment/>
    </xf>
    <xf numFmtId="0" fontId="4" fillId="0" borderId="0" xfId="0" applyFont="1" applyFill="1" applyBorder="1" applyAlignment="1">
      <alignment horizontal="center" vertical="top" wrapText="1"/>
    </xf>
    <xf numFmtId="0" fontId="4" fillId="0" borderId="16" xfId="0" applyFont="1" applyFill="1" applyBorder="1" applyAlignment="1">
      <alignment horizontal="center" vertical="center" wrapText="1"/>
    </xf>
    <xf numFmtId="0" fontId="17" fillId="0" borderId="0" xfId="0" applyFont="1" applyFill="1" applyBorder="1" applyAlignment="1">
      <alignment/>
    </xf>
    <xf numFmtId="0" fontId="8" fillId="0" borderId="19"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16" fillId="0" borderId="0" xfId="0" applyFont="1" applyFill="1" applyBorder="1" applyAlignment="1">
      <alignment/>
    </xf>
    <xf numFmtId="4" fontId="6" fillId="0" borderId="0" xfId="0" applyNumberFormat="1" applyFont="1" applyFill="1" applyBorder="1" applyAlignment="1">
      <alignment horizontal="center"/>
    </xf>
    <xf numFmtId="0" fontId="17" fillId="0" borderId="0" xfId="0" applyFont="1" applyFill="1" applyAlignment="1">
      <alignment horizontal="left" vertical="top" wrapText="1" indent="31"/>
    </xf>
    <xf numFmtId="0" fontId="19" fillId="0" borderId="10" xfId="0" applyFont="1" applyBorder="1" applyAlignment="1" quotePrefix="1">
      <alignment horizontal="center" vertical="top" wrapText="1"/>
    </xf>
    <xf numFmtId="0" fontId="19" fillId="0" borderId="12" xfId="0" applyFont="1" applyBorder="1" applyAlignment="1" quotePrefix="1">
      <alignment horizontal="center" vertical="top" wrapText="1"/>
    </xf>
    <xf numFmtId="49" fontId="20" fillId="0" borderId="12" xfId="0" applyNumberFormat="1" applyFont="1" applyBorder="1" applyAlignment="1">
      <alignment horizontal="center" vertical="top" wrapText="1"/>
    </xf>
    <xf numFmtId="192" fontId="19" fillId="0" borderId="10" xfId="0" applyNumberFormat="1" applyFont="1" applyBorder="1" applyAlignment="1">
      <alignment vertical="top" wrapText="1"/>
    </xf>
    <xf numFmtId="0" fontId="17" fillId="32" borderId="0" xfId="0" applyFont="1" applyFill="1" applyBorder="1" applyAlignment="1">
      <alignment horizontal="left" vertical="center" wrapText="1"/>
    </xf>
    <xf numFmtId="0" fontId="4" fillId="0" borderId="19" xfId="0" applyFont="1" applyFill="1" applyBorder="1" applyAlignment="1">
      <alignment horizontal="center" vertical="center" wrapText="1"/>
    </xf>
    <xf numFmtId="0" fontId="4" fillId="0" borderId="0" xfId="0" applyFont="1" applyFill="1" applyBorder="1" applyAlignment="1">
      <alignment horizontal="center" vertical="top" wrapText="1"/>
    </xf>
    <xf numFmtId="0" fontId="5" fillId="0" borderId="0"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32" borderId="17" xfId="0" applyFont="1" applyFill="1" applyBorder="1" applyAlignment="1">
      <alignment horizontal="center" vertical="center" wrapText="1"/>
    </xf>
    <xf numFmtId="0" fontId="8" fillId="32" borderId="18" xfId="0" applyFont="1" applyFill="1" applyBorder="1" applyAlignment="1">
      <alignment horizontal="center" vertical="center" wrapText="1"/>
    </xf>
    <xf numFmtId="0" fontId="17" fillId="32" borderId="0" xfId="0" applyFont="1" applyFill="1" applyBorder="1" applyAlignment="1">
      <alignment horizontal="left" vertical="center" wrapText="1"/>
    </xf>
    <xf numFmtId="0" fontId="16" fillId="0" borderId="0" xfId="0" applyFont="1" applyFill="1" applyBorder="1" applyAlignment="1">
      <alignment horizontal="center" vertical="top" wrapText="1"/>
    </xf>
    <xf numFmtId="0" fontId="18" fillId="0" borderId="0" xfId="0" applyFont="1" applyFill="1" applyBorder="1" applyAlignment="1">
      <alignment horizontal="center" vertical="top" wrapText="1"/>
    </xf>
    <xf numFmtId="0" fontId="5" fillId="0" borderId="11" xfId="0" applyFont="1" applyFill="1" applyBorder="1" applyAlignment="1">
      <alignment horizontal="center" vertical="top" wrapText="1"/>
    </xf>
    <xf numFmtId="0" fontId="17" fillId="0" borderId="0" xfId="0" applyFont="1" applyFill="1" applyBorder="1" applyAlignment="1">
      <alignment horizontal="left"/>
    </xf>
    <xf numFmtId="0" fontId="17" fillId="0" borderId="0" xfId="0" applyFont="1" applyFill="1" applyAlignment="1">
      <alignment horizontal="left" vertical="top" indent="31"/>
    </xf>
    <xf numFmtId="0" fontId="17" fillId="0" borderId="0" xfId="0" applyFont="1" applyFill="1" applyAlignment="1">
      <alignment horizontal="left" vertical="top" wrapText="1" indent="31"/>
    </xf>
    <xf numFmtId="0" fontId="17" fillId="0" borderId="0" xfId="0" applyFont="1" applyFill="1" applyAlignment="1">
      <alignment horizontal="center"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6"/>
  </sheetPr>
  <dimension ref="A1:J37"/>
  <sheetViews>
    <sheetView zoomScale="70" zoomScaleNormal="70" zoomScaleSheetLayoutView="50" zoomScalePageLayoutView="0" workbookViewId="0" topLeftCell="A3">
      <pane xSplit="3" ySplit="2" topLeftCell="D8" activePane="bottomRight" state="frozen"/>
      <selection pane="topLeft" activeCell="A3" sqref="A3"/>
      <selection pane="topRight" activeCell="D3" sqref="D3"/>
      <selection pane="bottomLeft" activeCell="A5" sqref="A5"/>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48" t="s">
        <v>57</v>
      </c>
      <c r="B1" s="148"/>
      <c r="C1" s="148"/>
      <c r="D1" s="148"/>
      <c r="E1" s="148"/>
      <c r="F1" s="148"/>
      <c r="G1" s="148"/>
      <c r="H1" s="148"/>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SUM(D6:D32)</f>
        <v>223344.29700000005</v>
      </c>
      <c r="E5" s="22">
        <f>SUM(E6:E32)</f>
        <v>174271.37800000006</v>
      </c>
      <c r="F5" s="22" t="s">
        <v>30</v>
      </c>
      <c r="G5" s="22">
        <f>SUM(G6:G32)</f>
        <v>75734.93000000001</v>
      </c>
      <c r="H5" s="10"/>
      <c r="J5" s="13" t="e">
        <f>I5-#REF!</f>
        <v>#REF!</v>
      </c>
    </row>
    <row r="6" spans="1:9" s="14" customFormat="1" ht="94.5">
      <c r="A6" s="1">
        <v>1</v>
      </c>
      <c r="B6" s="3" t="s">
        <v>33</v>
      </c>
      <c r="C6" s="6" t="s">
        <v>79</v>
      </c>
      <c r="D6" s="20">
        <v>21981.914</v>
      </c>
      <c r="E6" s="20">
        <f>D6-188.441</f>
        <v>21793.473</v>
      </c>
      <c r="F6" s="9">
        <f aca="true" t="shared" si="0" ref="F6:F12">100-(E6/D6*100)</f>
        <v>0.8572547413296121</v>
      </c>
      <c r="G6" s="23">
        <v>2200</v>
      </c>
      <c r="H6" s="6" t="s">
        <v>82</v>
      </c>
      <c r="I6" s="7"/>
    </row>
    <row r="7" spans="1:9" s="14" customFormat="1" ht="189">
      <c r="A7" s="1">
        <v>2</v>
      </c>
      <c r="B7" s="3" t="s">
        <v>20</v>
      </c>
      <c r="C7" s="15" t="s">
        <v>34</v>
      </c>
      <c r="D7" s="20">
        <v>27620.08</v>
      </c>
      <c r="E7" s="20">
        <f>D7-79.166-2972.875</f>
        <v>24568.039</v>
      </c>
      <c r="F7" s="9">
        <f t="shared" si="0"/>
        <v>11.050080231483761</v>
      </c>
      <c r="G7" s="20">
        <v>8497.375</v>
      </c>
      <c r="H7" s="6" t="s">
        <v>59</v>
      </c>
      <c r="I7" s="7"/>
    </row>
    <row r="8" spans="1:9" s="14" customFormat="1" ht="110.25">
      <c r="A8" s="1">
        <v>3</v>
      </c>
      <c r="B8" s="3" t="s">
        <v>20</v>
      </c>
      <c r="C8" s="6" t="s">
        <v>21</v>
      </c>
      <c r="D8" s="20">
        <v>7706.785</v>
      </c>
      <c r="E8" s="20">
        <f>D8-95.619-4404.381</f>
        <v>3206.785</v>
      </c>
      <c r="F8" s="9">
        <f t="shared" si="0"/>
        <v>58.390106899310155</v>
      </c>
      <c r="G8" s="20">
        <v>3206.785</v>
      </c>
      <c r="H8" s="6" t="s">
        <v>48</v>
      </c>
      <c r="I8" s="7"/>
    </row>
    <row r="9" spans="1:9" s="14" customFormat="1" ht="78.75">
      <c r="A9" s="1">
        <v>4</v>
      </c>
      <c r="B9" s="3" t="s">
        <v>20</v>
      </c>
      <c r="C9" s="6" t="s">
        <v>22</v>
      </c>
      <c r="D9" s="20">
        <v>1316.513</v>
      </c>
      <c r="E9" s="20">
        <f>D9-62.983</f>
        <v>1253.53</v>
      </c>
      <c r="F9" s="9">
        <f t="shared" si="0"/>
        <v>4.784077331556929</v>
      </c>
      <c r="G9" s="20">
        <v>1253.53</v>
      </c>
      <c r="H9" s="6" t="s">
        <v>49</v>
      </c>
      <c r="I9" s="7"/>
    </row>
    <row r="10" spans="1:9" s="14" customFormat="1" ht="126">
      <c r="A10" s="1">
        <v>5</v>
      </c>
      <c r="B10" s="3" t="s">
        <v>20</v>
      </c>
      <c r="C10" s="6" t="s">
        <v>60</v>
      </c>
      <c r="D10" s="20">
        <v>2580</v>
      </c>
      <c r="E10" s="20">
        <f>D10-199.974</f>
        <v>2380.026</v>
      </c>
      <c r="F10" s="9">
        <f t="shared" si="0"/>
        <v>7.750930232558147</v>
      </c>
      <c r="G10" s="20">
        <v>2380.026</v>
      </c>
      <c r="H10" s="31" t="s">
        <v>68</v>
      </c>
      <c r="I10" s="7"/>
    </row>
    <row r="11" spans="1:9" s="14" customFormat="1" ht="78.75">
      <c r="A11" s="1">
        <v>6</v>
      </c>
      <c r="B11" s="3" t="s">
        <v>20</v>
      </c>
      <c r="C11" s="6" t="s">
        <v>66</v>
      </c>
      <c r="D11" s="20">
        <v>5000</v>
      </c>
      <c r="E11" s="20">
        <f>D11-178.744</f>
        <v>4821.256</v>
      </c>
      <c r="F11" s="9">
        <f t="shared" si="0"/>
        <v>3.574879999999993</v>
      </c>
      <c r="G11" s="20">
        <v>4821.256</v>
      </c>
      <c r="H11" s="6" t="s">
        <v>150</v>
      </c>
      <c r="I11" s="7"/>
    </row>
    <row r="12" spans="1:9" s="14" customFormat="1" ht="63">
      <c r="A12" s="1">
        <v>7</v>
      </c>
      <c r="B12" s="3" t="s">
        <v>20</v>
      </c>
      <c r="C12" s="6" t="s">
        <v>85</v>
      </c>
      <c r="D12" s="20">
        <v>1387</v>
      </c>
      <c r="E12" s="20">
        <f>1387-87</f>
        <v>1300</v>
      </c>
      <c r="F12" s="9">
        <f t="shared" si="0"/>
        <v>6.272530641672674</v>
      </c>
      <c r="G12" s="20">
        <v>1300</v>
      </c>
      <c r="H12" s="6" t="s">
        <v>149</v>
      </c>
      <c r="I12" s="7"/>
    </row>
    <row r="13" spans="1:9" s="14" customFormat="1" ht="47.25">
      <c r="A13" s="1">
        <v>8</v>
      </c>
      <c r="B13" s="3" t="s">
        <v>28</v>
      </c>
      <c r="C13" s="6" t="s">
        <v>62</v>
      </c>
      <c r="D13" s="20">
        <v>14117.909</v>
      </c>
      <c r="E13" s="20">
        <f>D13-2770</f>
        <v>11347.909</v>
      </c>
      <c r="F13" s="9">
        <f>100-(E13/D13*100)</f>
        <v>19.62046929187602</v>
      </c>
      <c r="G13" s="20">
        <v>4000</v>
      </c>
      <c r="H13" s="6" t="s">
        <v>74</v>
      </c>
      <c r="I13" s="7"/>
    </row>
    <row r="14" spans="1:9" s="14" customFormat="1" ht="236.25">
      <c r="A14" s="1">
        <v>9</v>
      </c>
      <c r="B14" s="3" t="s">
        <v>28</v>
      </c>
      <c r="C14" s="15" t="s">
        <v>29</v>
      </c>
      <c r="D14" s="20">
        <v>70790.65</v>
      </c>
      <c r="E14" s="20">
        <f>D14-18842.403</f>
        <v>51948.246999999996</v>
      </c>
      <c r="F14" s="9">
        <f>100-(E14/D14*100)</f>
        <v>26.61707866787492</v>
      </c>
      <c r="G14" s="20">
        <v>10000</v>
      </c>
      <c r="H14" s="6" t="s">
        <v>50</v>
      </c>
      <c r="I14" s="7"/>
    </row>
    <row r="15" spans="1:9" s="14" customFormat="1" ht="189">
      <c r="A15" s="1">
        <v>10</v>
      </c>
      <c r="B15" s="3" t="s">
        <v>28</v>
      </c>
      <c r="C15" s="15" t="s">
        <v>75</v>
      </c>
      <c r="D15" s="20">
        <v>18856.07</v>
      </c>
      <c r="E15" s="20">
        <f>D15-280.524</f>
        <v>18575.546</v>
      </c>
      <c r="F15" s="9">
        <f>100-(E15/D15*100)</f>
        <v>1.4877119145187692</v>
      </c>
      <c r="G15" s="20">
        <v>5000</v>
      </c>
      <c r="H15" s="11" t="s">
        <v>156</v>
      </c>
      <c r="I15" s="7"/>
    </row>
    <row r="16" spans="1:9" s="14" customFormat="1" ht="63">
      <c r="A16" s="1">
        <v>11</v>
      </c>
      <c r="B16" s="3" t="s">
        <v>28</v>
      </c>
      <c r="C16" s="15" t="s">
        <v>127</v>
      </c>
      <c r="D16" s="20">
        <v>1073.747</v>
      </c>
      <c r="E16" s="20">
        <f>D16-50.283</f>
        <v>1023.464</v>
      </c>
      <c r="F16" s="9">
        <f aca="true" t="shared" si="1" ref="F16:F21">100-(E16/D16*100)</f>
        <v>4.6829467276742065</v>
      </c>
      <c r="G16" s="20">
        <v>1023.464</v>
      </c>
      <c r="H16" s="11" t="s">
        <v>158</v>
      </c>
      <c r="I16" s="32"/>
    </row>
    <row r="17" spans="1:9" s="14" customFormat="1" ht="63">
      <c r="A17" s="1">
        <v>12</v>
      </c>
      <c r="B17" s="3" t="s">
        <v>28</v>
      </c>
      <c r="C17" s="15" t="s">
        <v>131</v>
      </c>
      <c r="D17" s="20">
        <v>947.597</v>
      </c>
      <c r="E17" s="20">
        <f>D17-15.624</f>
        <v>931.973</v>
      </c>
      <c r="F17" s="9">
        <f t="shared" si="1"/>
        <v>1.6488021806738544</v>
      </c>
      <c r="G17" s="20">
        <v>931.597</v>
      </c>
      <c r="H17" s="11" t="s">
        <v>161</v>
      </c>
      <c r="I17" s="32"/>
    </row>
    <row r="18" spans="1:9" s="14" customFormat="1" ht="78.75">
      <c r="A18" s="1">
        <v>13</v>
      </c>
      <c r="B18" s="3" t="s">
        <v>28</v>
      </c>
      <c r="C18" s="15" t="s">
        <v>132</v>
      </c>
      <c r="D18" s="20">
        <v>126.086</v>
      </c>
      <c r="E18" s="20">
        <f>D18-6.943</f>
        <v>119.143</v>
      </c>
      <c r="F18" s="9">
        <f t="shared" si="1"/>
        <v>5.506559015275286</v>
      </c>
      <c r="G18" s="20">
        <v>119.143</v>
      </c>
      <c r="H18" s="11" t="s">
        <v>160</v>
      </c>
      <c r="I18" s="32"/>
    </row>
    <row r="19" spans="1:9" s="14" customFormat="1" ht="78.75">
      <c r="A19" s="1">
        <v>14</v>
      </c>
      <c r="B19" s="3" t="s">
        <v>28</v>
      </c>
      <c r="C19" s="15" t="s">
        <v>135</v>
      </c>
      <c r="D19" s="20">
        <v>383.911</v>
      </c>
      <c r="E19" s="20">
        <f>D19-25.723</f>
        <v>358.188</v>
      </c>
      <c r="F19" s="9">
        <f t="shared" si="1"/>
        <v>6.700250839387252</v>
      </c>
      <c r="G19" s="20">
        <v>358.188</v>
      </c>
      <c r="H19" s="11" t="s">
        <v>136</v>
      </c>
      <c r="I19" s="32"/>
    </row>
    <row r="20" spans="1:9" s="14" customFormat="1" ht="63">
      <c r="A20" s="1">
        <v>15</v>
      </c>
      <c r="B20" s="3" t="s">
        <v>28</v>
      </c>
      <c r="C20" s="15" t="s">
        <v>143</v>
      </c>
      <c r="D20" s="20">
        <v>500.3</v>
      </c>
      <c r="E20" s="20">
        <f>D20-18</f>
        <v>482.3</v>
      </c>
      <c r="F20" s="9">
        <f t="shared" si="1"/>
        <v>3.5978412952228638</v>
      </c>
      <c r="G20" s="20">
        <v>482.3</v>
      </c>
      <c r="H20" s="27" t="s">
        <v>163</v>
      </c>
      <c r="I20" s="32"/>
    </row>
    <row r="21" spans="1:9" s="14" customFormat="1" ht="47.25">
      <c r="A21" s="1">
        <v>16</v>
      </c>
      <c r="B21" s="3" t="s">
        <v>28</v>
      </c>
      <c r="C21" s="15" t="s">
        <v>144</v>
      </c>
      <c r="D21" s="20">
        <v>180</v>
      </c>
      <c r="E21" s="20">
        <f>D21-20</f>
        <v>160</v>
      </c>
      <c r="F21" s="9">
        <f t="shared" si="1"/>
        <v>11.111111111111114</v>
      </c>
      <c r="G21" s="20">
        <v>160</v>
      </c>
      <c r="H21" s="27" t="s">
        <v>163</v>
      </c>
      <c r="I21" s="32"/>
    </row>
    <row r="22" spans="1:9" s="14" customFormat="1" ht="47.25">
      <c r="A22" s="1">
        <v>17</v>
      </c>
      <c r="B22" s="3" t="s">
        <v>23</v>
      </c>
      <c r="C22" s="15" t="s">
        <v>35</v>
      </c>
      <c r="D22" s="20">
        <v>14260.633</v>
      </c>
      <c r="E22" s="20">
        <f>D22-21.353-13957.996</f>
        <v>281.28400000000147</v>
      </c>
      <c r="F22" s="9">
        <f>100-(E22/D22*100)</f>
        <v>98.02754898748182</v>
      </c>
      <c r="G22" s="20">
        <v>281.284</v>
      </c>
      <c r="H22" s="11" t="s">
        <v>38</v>
      </c>
      <c r="I22" s="4"/>
    </row>
    <row r="23" spans="1:9" s="14" customFormat="1" ht="47.25">
      <c r="A23" s="1">
        <v>18</v>
      </c>
      <c r="B23" s="3" t="s">
        <v>18</v>
      </c>
      <c r="C23" s="6" t="s">
        <v>64</v>
      </c>
      <c r="D23" s="20">
        <v>538.445</v>
      </c>
      <c r="E23" s="20">
        <f>D23-280</f>
        <v>258.44500000000005</v>
      </c>
      <c r="F23" s="9">
        <f>100-(E23/D23*100)</f>
        <v>52.001597191913746</v>
      </c>
      <c r="G23" s="20">
        <v>258.445</v>
      </c>
      <c r="H23" s="6" t="s">
        <v>179</v>
      </c>
      <c r="I23" s="4"/>
    </row>
    <row r="24" spans="1:9" s="14" customFormat="1" ht="63">
      <c r="A24" s="1">
        <v>19</v>
      </c>
      <c r="B24" s="3" t="s">
        <v>40</v>
      </c>
      <c r="C24" s="6" t="s">
        <v>65</v>
      </c>
      <c r="D24" s="7">
        <v>3500</v>
      </c>
      <c r="E24" s="7">
        <f>D24-238.796</f>
        <v>3261.204</v>
      </c>
      <c r="F24" s="9">
        <v>0</v>
      </c>
      <c r="G24" s="20">
        <v>3261.204</v>
      </c>
      <c r="H24" s="6" t="s">
        <v>180</v>
      </c>
      <c r="I24" s="4"/>
    </row>
    <row r="25" spans="1:9" s="14" customFormat="1" ht="63">
      <c r="A25" s="1">
        <v>20</v>
      </c>
      <c r="B25" s="3" t="s">
        <v>18</v>
      </c>
      <c r="C25" s="6" t="s">
        <v>67</v>
      </c>
      <c r="D25" s="20">
        <v>1946.149</v>
      </c>
      <c r="E25" s="20">
        <f>D25-93.871</f>
        <v>1852.2779999999998</v>
      </c>
      <c r="F25" s="9">
        <f>100-(E25/D25*100)</f>
        <v>4.8234230780890925</v>
      </c>
      <c r="G25" s="20">
        <v>1852.278</v>
      </c>
      <c r="H25" s="6" t="s">
        <v>72</v>
      </c>
      <c r="I25" s="4"/>
    </row>
    <row r="26" spans="1:9" s="14" customFormat="1" ht="63">
      <c r="A26" s="1">
        <v>21</v>
      </c>
      <c r="B26" s="3" t="s">
        <v>44</v>
      </c>
      <c r="C26" s="6" t="s">
        <v>45</v>
      </c>
      <c r="D26" s="20">
        <v>2779.035</v>
      </c>
      <c r="E26" s="20">
        <f>D26-317.247-24.521</f>
        <v>2437.267</v>
      </c>
      <c r="F26" s="9">
        <v>0</v>
      </c>
      <c r="G26" s="20">
        <v>2437.267</v>
      </c>
      <c r="H26" s="6" t="s">
        <v>46</v>
      </c>
      <c r="I26" s="18"/>
    </row>
    <row r="27" spans="1:9" s="14" customFormat="1" ht="110.25">
      <c r="A27" s="1">
        <v>22</v>
      </c>
      <c r="B27" s="3" t="s">
        <v>42</v>
      </c>
      <c r="C27" s="6" t="s">
        <v>9</v>
      </c>
      <c r="D27" s="20">
        <v>5000</v>
      </c>
      <c r="E27" s="20">
        <f>D27-207.8</f>
        <v>4792.2</v>
      </c>
      <c r="F27" s="9">
        <f aca="true" t="shared" si="2" ref="F27:F32">100-(E27/D27*100)</f>
        <v>4.156000000000006</v>
      </c>
      <c r="G27" s="20">
        <v>4792</v>
      </c>
      <c r="H27" s="6" t="s">
        <v>181</v>
      </c>
      <c r="I27" s="18"/>
    </row>
    <row r="28" spans="1:9" s="14" customFormat="1" ht="78.75">
      <c r="A28" s="1">
        <v>23</v>
      </c>
      <c r="B28" s="3" t="s">
        <v>78</v>
      </c>
      <c r="C28" s="6" t="s">
        <v>69</v>
      </c>
      <c r="D28" s="20">
        <v>290.702</v>
      </c>
      <c r="E28" s="20">
        <f>D28-4.388</f>
        <v>286.314</v>
      </c>
      <c r="F28" s="9">
        <f t="shared" si="2"/>
        <v>1.5094495393908574</v>
      </c>
      <c r="G28" s="20">
        <v>286.314</v>
      </c>
      <c r="H28" s="6" t="s">
        <v>70</v>
      </c>
      <c r="I28" s="18"/>
    </row>
    <row r="29" spans="1:9" s="14" customFormat="1" ht="47.25">
      <c r="A29" s="1">
        <v>24</v>
      </c>
      <c r="B29" s="3" t="s">
        <v>126</v>
      </c>
      <c r="C29" s="6" t="s">
        <v>190</v>
      </c>
      <c r="D29" s="20">
        <v>2497.638</v>
      </c>
      <c r="E29" s="20">
        <f>D29-47.473</f>
        <v>2450.165</v>
      </c>
      <c r="F29" s="9">
        <f t="shared" si="2"/>
        <v>1.9007157962843308</v>
      </c>
      <c r="G29" s="20">
        <v>2450.165</v>
      </c>
      <c r="H29" s="6" t="s">
        <v>189</v>
      </c>
      <c r="I29" s="18"/>
    </row>
    <row r="30" spans="1:9" s="14" customFormat="1" ht="63">
      <c r="A30" s="1">
        <v>25</v>
      </c>
      <c r="B30" s="3" t="s">
        <v>27</v>
      </c>
      <c r="C30" s="6" t="s">
        <v>61</v>
      </c>
      <c r="D30" s="20">
        <v>4691.8</v>
      </c>
      <c r="E30" s="20">
        <f>4691.8-1520</f>
        <v>3171.8</v>
      </c>
      <c r="F30" s="9">
        <f t="shared" si="2"/>
        <v>32.396947866490464</v>
      </c>
      <c r="G30" s="20">
        <v>3171.8</v>
      </c>
      <c r="H30" s="6" t="s">
        <v>47</v>
      </c>
      <c r="I30" s="4"/>
    </row>
    <row r="31" spans="1:9" s="14" customFormat="1" ht="63">
      <c r="A31" s="1">
        <v>26</v>
      </c>
      <c r="B31" s="3" t="s">
        <v>27</v>
      </c>
      <c r="C31" s="6" t="s">
        <v>76</v>
      </c>
      <c r="D31" s="20">
        <v>8500</v>
      </c>
      <c r="E31" s="20">
        <f>D31-400.791</f>
        <v>8099.209</v>
      </c>
      <c r="F31" s="9">
        <f t="shared" si="2"/>
        <v>4.7151882352941215</v>
      </c>
      <c r="G31" s="20">
        <v>8099.209</v>
      </c>
      <c r="H31" s="6" t="s">
        <v>206</v>
      </c>
      <c r="I31" s="4"/>
    </row>
    <row r="32" spans="1:9" s="14" customFormat="1" ht="63">
      <c r="A32" s="1">
        <v>27</v>
      </c>
      <c r="B32" s="3" t="s">
        <v>24</v>
      </c>
      <c r="C32" s="6" t="s">
        <v>63</v>
      </c>
      <c r="D32" s="20">
        <v>4771.333</v>
      </c>
      <c r="E32" s="20">
        <f>D32-1660</f>
        <v>3111.3329999999996</v>
      </c>
      <c r="F32" s="9">
        <f t="shared" si="2"/>
        <v>34.79111602564734</v>
      </c>
      <c r="G32" s="20">
        <v>3111.3</v>
      </c>
      <c r="H32" s="11" t="s">
        <v>73</v>
      </c>
      <c r="I32" s="4"/>
    </row>
    <row r="35" spans="2:10" ht="40.5" customHeight="1">
      <c r="B35" s="149" t="s">
        <v>39</v>
      </c>
      <c r="C35" s="149"/>
      <c r="D35" s="149"/>
      <c r="E35" s="149"/>
      <c r="H35" s="18" t="s">
        <v>31</v>
      </c>
      <c r="J35" s="18"/>
    </row>
    <row r="36" spans="8:10" ht="15.75">
      <c r="H36" s="18"/>
      <c r="J36" s="18"/>
    </row>
    <row r="37" spans="1:3" ht="15.75">
      <c r="A37" s="18"/>
      <c r="C37" s="19" t="s">
        <v>32</v>
      </c>
    </row>
  </sheetData>
  <sheetProtection/>
  <mergeCells count="2">
    <mergeCell ref="A1:H1"/>
    <mergeCell ref="B35:E35"/>
  </mergeCells>
  <printOptions/>
  <pageMargins left="0.2755905511811024" right="0.2" top="0.3" bottom="0.23" header="0.27" footer="0.15748031496062992"/>
  <pageSetup horizontalDpi="600" verticalDpi="600" orientation="landscape" paperSize="9" scale="69" r:id="rId1"/>
</worksheet>
</file>

<file path=xl/worksheets/sheet10.xml><?xml version="1.0" encoding="utf-8"?>
<worksheet xmlns="http://schemas.openxmlformats.org/spreadsheetml/2006/main" xmlns:r="http://schemas.openxmlformats.org/officeDocument/2006/relationships">
  <sheetPr>
    <tabColor rgb="FF92D050"/>
  </sheetPr>
  <dimension ref="A1:S20"/>
  <sheetViews>
    <sheetView zoomScale="70" zoomScaleNormal="70" zoomScaleSheetLayoutView="55" zoomScalePageLayoutView="0" workbookViewId="0" topLeftCell="A3">
      <pane xSplit="3" ySplit="3" topLeftCell="D16"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48" t="s">
        <v>451</v>
      </c>
      <c r="B1" s="148"/>
      <c r="C1" s="148"/>
      <c r="D1" s="148"/>
      <c r="E1" s="148"/>
      <c r="F1" s="148"/>
      <c r="G1" s="148"/>
      <c r="H1" s="148"/>
      <c r="I1" s="148"/>
      <c r="J1" s="148"/>
      <c r="K1" s="148"/>
      <c r="L1" s="148"/>
      <c r="M1" s="148"/>
      <c r="N1" s="148"/>
      <c r="O1" s="148"/>
      <c r="P1" s="148"/>
      <c r="Q1" s="148"/>
      <c r="R1" s="148"/>
      <c r="S1" s="148"/>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50" t="s">
        <v>12</v>
      </c>
      <c r="B3" s="150" t="s">
        <v>254</v>
      </c>
      <c r="C3" s="150" t="s">
        <v>256</v>
      </c>
      <c r="D3" s="150" t="s">
        <v>269</v>
      </c>
      <c r="E3" s="150" t="s">
        <v>258</v>
      </c>
      <c r="F3" s="150" t="s">
        <v>259</v>
      </c>
      <c r="G3" s="150" t="s">
        <v>257</v>
      </c>
      <c r="H3" s="150" t="s">
        <v>250</v>
      </c>
      <c r="I3" s="150" t="s">
        <v>11</v>
      </c>
      <c r="J3" s="150" t="s">
        <v>251</v>
      </c>
      <c r="K3" s="150" t="s">
        <v>16</v>
      </c>
      <c r="L3" s="152" t="s">
        <v>241</v>
      </c>
      <c r="M3" s="153"/>
      <c r="N3" s="53" t="s">
        <v>252</v>
      </c>
      <c r="O3" s="154" t="s">
        <v>242</v>
      </c>
      <c r="P3" s="155"/>
      <c r="Q3" s="154" t="s">
        <v>253</v>
      </c>
      <c r="R3" s="155"/>
      <c r="S3" s="150" t="s">
        <v>255</v>
      </c>
    </row>
    <row r="4" spans="1:19" s="54" customFormat="1" ht="129.75" customHeight="1">
      <c r="A4" s="151"/>
      <c r="B4" s="151"/>
      <c r="C4" s="151"/>
      <c r="D4" s="151"/>
      <c r="E4" s="151"/>
      <c r="F4" s="151"/>
      <c r="G4" s="151"/>
      <c r="H4" s="151"/>
      <c r="I4" s="151"/>
      <c r="J4" s="151"/>
      <c r="K4" s="151"/>
      <c r="L4" s="53" t="s">
        <v>273</v>
      </c>
      <c r="M4" s="60" t="s">
        <v>274</v>
      </c>
      <c r="N4" s="53"/>
      <c r="O4" s="75" t="s">
        <v>273</v>
      </c>
      <c r="P4" s="76" t="s">
        <v>274</v>
      </c>
      <c r="Q4" s="75" t="s">
        <v>273</v>
      </c>
      <c r="R4" s="76" t="s">
        <v>274</v>
      </c>
      <c r="S4" s="151"/>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I7+I10+I12+I15</f>
        <v>44061.245</v>
      </c>
      <c r="J6" s="22">
        <f>J7+J10+J12+J15</f>
        <v>43999.895000000004</v>
      </c>
      <c r="K6" s="22" t="s">
        <v>30</v>
      </c>
      <c r="L6" s="22">
        <f>L7+L10+L12+L15</f>
        <v>35150</v>
      </c>
      <c r="M6" s="22">
        <f>M7+M10+M12+M15</f>
        <v>1950</v>
      </c>
      <c r="N6" s="22" t="e">
        <f>N7+N10+N12+#REF!+#REF!+#REF!</f>
        <v>#REF!</v>
      </c>
      <c r="O6" s="22" t="e">
        <f>O7+O10+O12+#REF!+#REF!+#REF!</f>
        <v>#REF!</v>
      </c>
      <c r="P6" s="22" t="e">
        <f>P7+P10+P12+#REF!+#REF!+#REF!</f>
        <v>#REF!</v>
      </c>
      <c r="Q6" s="22" t="e">
        <f>Q7+Q10+Q12+#REF!+#REF!+#REF!</f>
        <v>#REF!</v>
      </c>
      <c r="R6" s="22" t="e">
        <f>R7+R10+R12+#REF!+#REF!+#REF!</f>
        <v>#REF!</v>
      </c>
      <c r="S6" s="22" t="s">
        <v>30</v>
      </c>
    </row>
    <row r="7" spans="1:19" s="73" customFormat="1" ht="31.5">
      <c r="A7" s="70"/>
      <c r="B7" s="70"/>
      <c r="C7" s="71" t="s">
        <v>383</v>
      </c>
      <c r="D7" s="71"/>
      <c r="E7" s="71"/>
      <c r="F7" s="71"/>
      <c r="G7" s="71"/>
      <c r="H7" s="71"/>
      <c r="I7" s="72">
        <f>SUM(I8:I9)</f>
        <v>14561.245</v>
      </c>
      <c r="J7" s="72">
        <f>SUM(J8:J9)</f>
        <v>14499.895</v>
      </c>
      <c r="K7" s="72" t="s">
        <v>30</v>
      </c>
      <c r="L7" s="72">
        <f>SUM(L8:L9)</f>
        <v>6950</v>
      </c>
      <c r="M7" s="72">
        <f>SUM(M8:M9)</f>
        <v>450</v>
      </c>
      <c r="N7" s="72">
        <f>SUM(N8:N8)</f>
        <v>0</v>
      </c>
      <c r="O7" s="72">
        <f>SUM(O8:O8)</f>
        <v>0</v>
      </c>
      <c r="P7" s="72">
        <f>SUM(P8:P8)</f>
        <v>0</v>
      </c>
      <c r="Q7" s="72">
        <f>SUM(Q8:Q8)</f>
        <v>0</v>
      </c>
      <c r="R7" s="72">
        <f>SUM(R8:R8)</f>
        <v>0</v>
      </c>
      <c r="S7" s="72"/>
    </row>
    <row r="8" spans="1:19" s="52" customFormat="1" ht="173.25">
      <c r="A8" s="61">
        <v>9</v>
      </c>
      <c r="B8" s="43" t="s">
        <v>266</v>
      </c>
      <c r="C8" s="67" t="s">
        <v>286</v>
      </c>
      <c r="D8" s="66" t="s">
        <v>270</v>
      </c>
      <c r="E8" s="56"/>
      <c r="F8" s="56"/>
      <c r="G8" s="56"/>
      <c r="H8" s="55"/>
      <c r="I8" s="23">
        <v>8811.245</v>
      </c>
      <c r="J8" s="99">
        <v>8749.895</v>
      </c>
      <c r="K8" s="29">
        <f>100-(J8/I8*100)</f>
        <v>0.6962693694250959</v>
      </c>
      <c r="L8" s="23">
        <v>1200</v>
      </c>
      <c r="M8" s="23">
        <v>150</v>
      </c>
      <c r="N8" s="23"/>
      <c r="O8" s="23"/>
      <c r="P8" s="23"/>
      <c r="Q8" s="23"/>
      <c r="R8" s="23"/>
      <c r="S8" s="84" t="s">
        <v>462</v>
      </c>
    </row>
    <row r="9" spans="1:19" s="52" customFormat="1" ht="63">
      <c r="A9" s="61">
        <v>17</v>
      </c>
      <c r="B9" s="43" t="s">
        <v>283</v>
      </c>
      <c r="C9" s="67" t="s">
        <v>289</v>
      </c>
      <c r="D9" s="66" t="s">
        <v>270</v>
      </c>
      <c r="E9" s="56"/>
      <c r="F9" s="56"/>
      <c r="G9" s="56"/>
      <c r="H9" s="55"/>
      <c r="I9" s="23">
        <f>L9</f>
        <v>5750</v>
      </c>
      <c r="J9" s="23">
        <f>I9</f>
        <v>5750</v>
      </c>
      <c r="K9" s="29">
        <f>100-(J9/I9*100)</f>
        <v>0</v>
      </c>
      <c r="L9" s="23">
        <v>5750</v>
      </c>
      <c r="M9" s="23">
        <v>300</v>
      </c>
      <c r="N9" s="23"/>
      <c r="O9" s="23"/>
      <c r="P9" s="23"/>
      <c r="Q9" s="23"/>
      <c r="R9" s="23"/>
      <c r="S9" s="74" t="s">
        <v>421</v>
      </c>
    </row>
    <row r="10" spans="1:19" s="73" customFormat="1" ht="31.5">
      <c r="A10" s="70"/>
      <c r="B10" s="70"/>
      <c r="C10" s="71" t="s">
        <v>391</v>
      </c>
      <c r="D10" s="71"/>
      <c r="E10" s="71"/>
      <c r="F10" s="71"/>
      <c r="G10" s="71"/>
      <c r="H10" s="71"/>
      <c r="I10" s="72">
        <f>SUM(I11:I11)</f>
        <v>20000</v>
      </c>
      <c r="J10" s="72">
        <f>SUM(J11:J11)</f>
        <v>20000</v>
      </c>
      <c r="K10" s="72" t="s">
        <v>30</v>
      </c>
      <c r="L10" s="72">
        <f aca="true" t="shared" si="0" ref="L10:R10">SUM(L11:L11)</f>
        <v>20000</v>
      </c>
      <c r="M10" s="72">
        <f t="shared" si="0"/>
        <v>500</v>
      </c>
      <c r="N10" s="72">
        <f t="shared" si="0"/>
        <v>0</v>
      </c>
      <c r="O10" s="72">
        <f t="shared" si="0"/>
        <v>0</v>
      </c>
      <c r="P10" s="72">
        <f t="shared" si="0"/>
        <v>0</v>
      </c>
      <c r="Q10" s="72">
        <f t="shared" si="0"/>
        <v>0</v>
      </c>
      <c r="R10" s="72">
        <f t="shared" si="0"/>
        <v>0</v>
      </c>
      <c r="S10" s="72"/>
    </row>
    <row r="11" spans="1:19" s="52" customFormat="1" ht="78.75">
      <c r="A11" s="61">
        <v>6</v>
      </c>
      <c r="B11" s="43" t="s">
        <v>305</v>
      </c>
      <c r="C11" s="63" t="s">
        <v>473</v>
      </c>
      <c r="D11" s="56" t="s">
        <v>270</v>
      </c>
      <c r="E11" s="56" t="s">
        <v>363</v>
      </c>
      <c r="F11" s="56"/>
      <c r="G11" s="56"/>
      <c r="H11" s="55"/>
      <c r="I11" s="23">
        <f>L11</f>
        <v>20000</v>
      </c>
      <c r="J11" s="23">
        <f>I11</f>
        <v>20000</v>
      </c>
      <c r="K11" s="29">
        <f>100-(J11/I11*100)</f>
        <v>0</v>
      </c>
      <c r="L11" s="23">
        <v>20000</v>
      </c>
      <c r="M11" s="100">
        <v>500</v>
      </c>
      <c r="N11" s="23"/>
      <c r="O11" s="23"/>
      <c r="P11" s="23"/>
      <c r="Q11" s="23"/>
      <c r="R11" s="23"/>
      <c r="S11" s="25" t="s">
        <v>474</v>
      </c>
    </row>
    <row r="12" spans="1:19" s="73" customFormat="1" ht="31.5">
      <c r="A12" s="70"/>
      <c r="B12" s="70"/>
      <c r="C12" s="71" t="s">
        <v>393</v>
      </c>
      <c r="D12" s="71"/>
      <c r="E12" s="71"/>
      <c r="F12" s="71"/>
      <c r="G12" s="71"/>
      <c r="H12" s="71"/>
      <c r="I12" s="72">
        <f>SUM(I13:I14)</f>
        <v>6000</v>
      </c>
      <c r="J12" s="72">
        <f>SUM(J13:J14)</f>
        <v>6000</v>
      </c>
      <c r="K12" s="72" t="s">
        <v>30</v>
      </c>
      <c r="L12" s="72">
        <f>SUM(L13:L14)</f>
        <v>4700</v>
      </c>
      <c r="M12" s="72">
        <f>SUM(M13:M14)</f>
        <v>600</v>
      </c>
      <c r="N12" s="72" t="e">
        <f>SUM(#REF!)</f>
        <v>#REF!</v>
      </c>
      <c r="O12" s="72" t="e">
        <f>SUM(#REF!)</f>
        <v>#REF!</v>
      </c>
      <c r="P12" s="72" t="e">
        <f>SUM(#REF!)</f>
        <v>#REF!</v>
      </c>
      <c r="Q12" s="72" t="e">
        <f>SUM(#REF!)</f>
        <v>#REF!</v>
      </c>
      <c r="R12" s="72" t="e">
        <f>SUM(#REF!)</f>
        <v>#REF!</v>
      </c>
      <c r="S12" s="72"/>
    </row>
    <row r="13" spans="1:19" s="52" customFormat="1" ht="63">
      <c r="A13" s="61">
        <v>1</v>
      </c>
      <c r="B13" s="43" t="s">
        <v>342</v>
      </c>
      <c r="C13" s="69" t="s">
        <v>99</v>
      </c>
      <c r="D13" s="29" t="s">
        <v>270</v>
      </c>
      <c r="E13" s="29"/>
      <c r="F13" s="29"/>
      <c r="G13" s="29"/>
      <c r="H13" s="55"/>
      <c r="I13" s="28">
        <f>L13+O13</f>
        <v>3500</v>
      </c>
      <c r="J13" s="28">
        <f>I13</f>
        <v>3500</v>
      </c>
      <c r="K13" s="29">
        <f>100-(J13/I13*100)</f>
        <v>0</v>
      </c>
      <c r="L13" s="23">
        <v>2200</v>
      </c>
      <c r="M13" s="23">
        <v>400</v>
      </c>
      <c r="N13" s="23"/>
      <c r="O13" s="23">
        <v>1300</v>
      </c>
      <c r="P13" s="23"/>
      <c r="Q13" s="23"/>
      <c r="R13" s="23"/>
      <c r="S13" s="25" t="s">
        <v>466</v>
      </c>
    </row>
    <row r="14" spans="1:19" s="52" customFormat="1" ht="63">
      <c r="A14" s="61">
        <v>2</v>
      </c>
      <c r="B14" s="43" t="s">
        <v>342</v>
      </c>
      <c r="C14" s="25" t="s">
        <v>98</v>
      </c>
      <c r="D14" s="64" t="s">
        <v>270</v>
      </c>
      <c r="E14" s="64"/>
      <c r="F14" s="64"/>
      <c r="G14" s="64"/>
      <c r="H14" s="55"/>
      <c r="I14" s="28">
        <f>L14+O14</f>
        <v>2500</v>
      </c>
      <c r="J14" s="28">
        <f>I14</f>
        <v>2500</v>
      </c>
      <c r="K14" s="29">
        <f>100-(J14/I14*100)</f>
        <v>0</v>
      </c>
      <c r="L14" s="23">
        <v>2500</v>
      </c>
      <c r="M14" s="23">
        <v>200</v>
      </c>
      <c r="N14" s="23"/>
      <c r="O14" s="23"/>
      <c r="P14" s="23"/>
      <c r="Q14" s="23"/>
      <c r="R14" s="23"/>
      <c r="S14" s="25" t="s">
        <v>465</v>
      </c>
    </row>
    <row r="15" spans="1:19" s="92" customFormat="1" ht="63" customHeight="1">
      <c r="A15" s="88"/>
      <c r="B15" s="86"/>
      <c r="C15" s="86" t="s">
        <v>463</v>
      </c>
      <c r="D15" s="86"/>
      <c r="E15" s="86"/>
      <c r="F15" s="86"/>
      <c r="G15" s="86"/>
      <c r="H15" s="89"/>
      <c r="I15" s="90">
        <f>I16</f>
        <v>3500</v>
      </c>
      <c r="J15" s="90">
        <f>J16</f>
        <v>3500</v>
      </c>
      <c r="K15" s="91" t="s">
        <v>30</v>
      </c>
      <c r="L15" s="90">
        <f aca="true" t="shared" si="1" ref="L15:R15">L16</f>
        <v>3500</v>
      </c>
      <c r="M15" s="90">
        <f t="shared" si="1"/>
        <v>400</v>
      </c>
      <c r="N15" s="90">
        <f t="shared" si="1"/>
        <v>0</v>
      </c>
      <c r="O15" s="90">
        <f t="shared" si="1"/>
        <v>0</v>
      </c>
      <c r="P15" s="90">
        <f t="shared" si="1"/>
        <v>0</v>
      </c>
      <c r="Q15" s="90">
        <f t="shared" si="1"/>
        <v>0</v>
      </c>
      <c r="R15" s="90">
        <f t="shared" si="1"/>
        <v>0</v>
      </c>
      <c r="S15" s="87"/>
    </row>
    <row r="16" spans="1:19" s="52" customFormat="1" ht="220.5">
      <c r="A16" s="61">
        <v>1</v>
      </c>
      <c r="B16" s="43" t="s">
        <v>292</v>
      </c>
      <c r="C16" s="25" t="s">
        <v>475</v>
      </c>
      <c r="D16" s="64" t="s">
        <v>270</v>
      </c>
      <c r="E16" s="64"/>
      <c r="F16" s="64"/>
      <c r="G16" s="64"/>
      <c r="H16" s="55"/>
      <c r="I16" s="28">
        <v>3500</v>
      </c>
      <c r="J16" s="28">
        <f>I16</f>
        <v>3500</v>
      </c>
      <c r="K16" s="29">
        <f>100-(J16/I16*100)</f>
        <v>0</v>
      </c>
      <c r="L16" s="23">
        <v>3500</v>
      </c>
      <c r="M16" s="23">
        <v>400</v>
      </c>
      <c r="N16" s="23"/>
      <c r="O16" s="23">
        <f>J16-L16</f>
        <v>0</v>
      </c>
      <c r="P16" s="23"/>
      <c r="Q16" s="23"/>
      <c r="R16" s="23"/>
      <c r="S16" s="25" t="s">
        <v>464</v>
      </c>
    </row>
    <row r="17" spans="1:19" s="52" customFormat="1" ht="15.75">
      <c r="A17" s="77"/>
      <c r="B17" s="78"/>
      <c r="C17" s="79"/>
      <c r="D17" s="80"/>
      <c r="E17" s="80"/>
      <c r="F17" s="80"/>
      <c r="G17" s="80"/>
      <c r="H17" s="81"/>
      <c r="I17" s="94"/>
      <c r="J17" s="94"/>
      <c r="K17" s="82"/>
      <c r="L17" s="83"/>
      <c r="M17" s="83"/>
      <c r="N17" s="83"/>
      <c r="O17" s="83"/>
      <c r="P17" s="83"/>
      <c r="Q17" s="83"/>
      <c r="R17" s="83"/>
      <c r="S17" s="79"/>
    </row>
    <row r="18" spans="2:19" ht="40.5" customHeight="1">
      <c r="B18" s="149" t="s">
        <v>381</v>
      </c>
      <c r="C18" s="149"/>
      <c r="D18" s="149"/>
      <c r="E18" s="149"/>
      <c r="F18" s="149"/>
      <c r="G18" s="149"/>
      <c r="H18" s="149"/>
      <c r="I18" s="149"/>
      <c r="J18" s="149"/>
      <c r="S18" s="18" t="s">
        <v>382</v>
      </c>
    </row>
    <row r="19" ht="15.75">
      <c r="S19" s="18"/>
    </row>
    <row r="20" spans="1:8" ht="15.75">
      <c r="A20" s="18"/>
      <c r="C20" s="19"/>
      <c r="D20" s="57"/>
      <c r="E20" s="57"/>
      <c r="F20" s="57"/>
      <c r="G20" s="57"/>
      <c r="H20" s="57"/>
    </row>
  </sheetData>
  <sheetProtection/>
  <mergeCells count="17">
    <mergeCell ref="B18:J18"/>
    <mergeCell ref="J3:J4"/>
    <mergeCell ref="K3:K4"/>
    <mergeCell ref="L3:M3"/>
    <mergeCell ref="O3:P3"/>
    <mergeCell ref="Q3:R3"/>
    <mergeCell ref="I3:I4"/>
    <mergeCell ref="S3:S4"/>
    <mergeCell ref="A1:S1"/>
    <mergeCell ref="A3:A4"/>
    <mergeCell ref="B3:B4"/>
    <mergeCell ref="C3:C4"/>
    <mergeCell ref="D3:D4"/>
    <mergeCell ref="E3:E4"/>
    <mergeCell ref="F3:F4"/>
    <mergeCell ref="G3:G4"/>
    <mergeCell ref="H3:H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18" max="18" man="1"/>
    <brk id="19" max="9" man="1"/>
  </rowBreaks>
</worksheet>
</file>

<file path=xl/worksheets/sheet11.xml><?xml version="1.0" encoding="utf-8"?>
<worksheet xmlns="http://schemas.openxmlformats.org/spreadsheetml/2006/main" xmlns:r="http://schemas.openxmlformats.org/officeDocument/2006/relationships">
  <sheetPr>
    <tabColor rgb="FFFFC000"/>
  </sheetPr>
  <dimension ref="A1:T39"/>
  <sheetViews>
    <sheetView zoomScale="70" zoomScaleNormal="70" zoomScaleSheetLayoutView="55" zoomScalePageLayoutView="0" workbookViewId="0" topLeftCell="A3">
      <pane xSplit="3" ySplit="3" topLeftCell="D6"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48" t="s">
        <v>451</v>
      </c>
      <c r="B1" s="148"/>
      <c r="C1" s="148"/>
      <c r="D1" s="148"/>
      <c r="E1" s="148"/>
      <c r="F1" s="148"/>
      <c r="G1" s="148"/>
      <c r="H1" s="148"/>
      <c r="I1" s="148"/>
      <c r="J1" s="148"/>
      <c r="K1" s="148"/>
      <c r="L1" s="148"/>
      <c r="M1" s="148"/>
      <c r="N1" s="148"/>
      <c r="O1" s="148"/>
      <c r="P1" s="148"/>
      <c r="Q1" s="148"/>
      <c r="R1" s="148"/>
      <c r="S1" s="148"/>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50" t="s">
        <v>12</v>
      </c>
      <c r="B3" s="150" t="s">
        <v>254</v>
      </c>
      <c r="C3" s="150" t="s">
        <v>256</v>
      </c>
      <c r="D3" s="150" t="s">
        <v>269</v>
      </c>
      <c r="E3" s="150" t="s">
        <v>258</v>
      </c>
      <c r="F3" s="150" t="s">
        <v>259</v>
      </c>
      <c r="G3" s="150" t="s">
        <v>257</v>
      </c>
      <c r="H3" s="150" t="s">
        <v>250</v>
      </c>
      <c r="I3" s="150" t="s">
        <v>11</v>
      </c>
      <c r="J3" s="150" t="s">
        <v>251</v>
      </c>
      <c r="K3" s="150" t="s">
        <v>16</v>
      </c>
      <c r="L3" s="152" t="s">
        <v>241</v>
      </c>
      <c r="M3" s="153"/>
      <c r="N3" s="53" t="s">
        <v>252</v>
      </c>
      <c r="O3" s="154" t="s">
        <v>242</v>
      </c>
      <c r="P3" s="155"/>
      <c r="Q3" s="154" t="s">
        <v>253</v>
      </c>
      <c r="R3" s="155"/>
      <c r="S3" s="150" t="s">
        <v>255</v>
      </c>
    </row>
    <row r="4" spans="1:19" s="54" customFormat="1" ht="129.75" customHeight="1">
      <c r="A4" s="151"/>
      <c r="B4" s="151"/>
      <c r="C4" s="151"/>
      <c r="D4" s="151"/>
      <c r="E4" s="151"/>
      <c r="F4" s="151"/>
      <c r="G4" s="151"/>
      <c r="H4" s="151"/>
      <c r="I4" s="151"/>
      <c r="J4" s="151"/>
      <c r="K4" s="151"/>
      <c r="L4" s="53" t="s">
        <v>273</v>
      </c>
      <c r="M4" s="60" t="s">
        <v>274</v>
      </c>
      <c r="N4" s="53"/>
      <c r="O4" s="75" t="s">
        <v>273</v>
      </c>
      <c r="P4" s="76" t="s">
        <v>274</v>
      </c>
      <c r="Q4" s="75" t="s">
        <v>273</v>
      </c>
      <c r="R4" s="76" t="s">
        <v>274</v>
      </c>
      <c r="S4" s="151"/>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I7+I16+I22+I29+I34</f>
        <v>378692.632</v>
      </c>
      <c r="J6" s="22">
        <f>J7+J16+J22+J29+J34</f>
        <v>287455.32809</v>
      </c>
      <c r="K6" s="22" t="s">
        <v>30</v>
      </c>
      <c r="L6" s="22">
        <f>L7+L16+L22+L29+L34</f>
        <v>118102.212</v>
      </c>
      <c r="M6" s="22">
        <f>M7+M16+M22+M29+M34</f>
        <v>500</v>
      </c>
      <c r="N6" s="22" t="e">
        <f>N7+N16+#REF!+N22+N29+N34</f>
        <v>#REF!</v>
      </c>
      <c r="O6" s="22" t="e">
        <f>O7+O16+#REF!+O22+O29+O34</f>
        <v>#REF!</v>
      </c>
      <c r="P6" s="22" t="e">
        <f>P7+P16+#REF!+P22+P29+P34</f>
        <v>#REF!</v>
      </c>
      <c r="Q6" s="22" t="e">
        <f>Q7+Q16+#REF!+Q22+Q29+Q34</f>
        <v>#REF!</v>
      </c>
      <c r="R6" s="22" t="e">
        <f>R7+R16+#REF!+R22+R29+R34</f>
        <v>#REF!</v>
      </c>
      <c r="S6" s="22" t="s">
        <v>30</v>
      </c>
    </row>
    <row r="7" spans="1:19" s="73" customFormat="1" ht="31.5">
      <c r="A7" s="70"/>
      <c r="B7" s="70"/>
      <c r="C7" s="71" t="s">
        <v>383</v>
      </c>
      <c r="D7" s="71"/>
      <c r="E7" s="71"/>
      <c r="F7" s="71"/>
      <c r="G7" s="71"/>
      <c r="H7" s="71"/>
      <c r="I7" s="72">
        <f>SUM(I8:I15)</f>
        <v>83324.46800000001</v>
      </c>
      <c r="J7" s="72">
        <f>SUM(J8:J15)</f>
        <v>56461.493</v>
      </c>
      <c r="K7" s="72" t="s">
        <v>30</v>
      </c>
      <c r="L7" s="72">
        <f aca="true" t="shared" si="0" ref="L7:R7">SUM(L8:L15)</f>
        <v>37375.659999999996</v>
      </c>
      <c r="M7" s="72">
        <f t="shared" si="0"/>
        <v>0</v>
      </c>
      <c r="N7" s="72">
        <f t="shared" si="0"/>
        <v>0</v>
      </c>
      <c r="O7" s="72">
        <f t="shared" si="0"/>
        <v>13514.365000000005</v>
      </c>
      <c r="P7" s="72">
        <f t="shared" si="0"/>
        <v>0</v>
      </c>
      <c r="Q7" s="72">
        <f t="shared" si="0"/>
        <v>0</v>
      </c>
      <c r="R7" s="72">
        <f t="shared" si="0"/>
        <v>0</v>
      </c>
      <c r="S7" s="72"/>
    </row>
    <row r="8" spans="1:20" s="52" customFormat="1" ht="126">
      <c r="A8" s="61">
        <v>1</v>
      </c>
      <c r="B8" s="43" t="s">
        <v>263</v>
      </c>
      <c r="C8" s="93" t="s">
        <v>264</v>
      </c>
      <c r="D8" s="66" t="s">
        <v>270</v>
      </c>
      <c r="E8" s="56" t="s">
        <v>276</v>
      </c>
      <c r="F8" s="56" t="s">
        <v>275</v>
      </c>
      <c r="G8" s="56" t="s">
        <v>267</v>
      </c>
      <c r="H8" s="55">
        <v>2017</v>
      </c>
      <c r="I8" s="23">
        <v>3768.437</v>
      </c>
      <c r="J8" s="23">
        <f>I8-1768.437</f>
        <v>2000</v>
      </c>
      <c r="K8" s="29">
        <f aca="true" t="shared" si="1" ref="K8:K15">100-(J8/I8*100)</f>
        <v>46.927598895775624</v>
      </c>
      <c r="L8" s="100">
        <v>2000</v>
      </c>
      <c r="M8" s="23"/>
      <c r="N8" s="23"/>
      <c r="O8" s="23"/>
      <c r="P8" s="23"/>
      <c r="Q8" s="23"/>
      <c r="R8" s="23"/>
      <c r="S8" s="74" t="s">
        <v>408</v>
      </c>
      <c r="T8" s="52" t="s">
        <v>271</v>
      </c>
    </row>
    <row r="9" spans="1:20" s="52" customFormat="1" ht="63">
      <c r="A9" s="61">
        <v>2</v>
      </c>
      <c r="B9" s="43" t="s">
        <v>266</v>
      </c>
      <c r="C9" s="93" t="s">
        <v>265</v>
      </c>
      <c r="D9" s="66" t="s">
        <v>270</v>
      </c>
      <c r="E9" s="56" t="s">
        <v>276</v>
      </c>
      <c r="F9" s="56" t="s">
        <v>275</v>
      </c>
      <c r="G9" s="56" t="s">
        <v>268</v>
      </c>
      <c r="H9" s="55">
        <v>2017</v>
      </c>
      <c r="I9" s="23">
        <v>3579.889</v>
      </c>
      <c r="J9" s="23">
        <f>I9-2579.889</f>
        <v>1000</v>
      </c>
      <c r="K9" s="29">
        <f t="shared" si="1"/>
        <v>72.0661730014534</v>
      </c>
      <c r="L9" s="100">
        <v>1000</v>
      </c>
      <c r="M9" s="23"/>
      <c r="N9" s="23"/>
      <c r="O9" s="23"/>
      <c r="P9" s="23"/>
      <c r="Q9" s="23"/>
      <c r="R9" s="23"/>
      <c r="S9" s="74" t="s">
        <v>409</v>
      </c>
      <c r="T9" s="52" t="s">
        <v>271</v>
      </c>
    </row>
    <row r="10" spans="1:20" s="52" customFormat="1" ht="110.25">
      <c r="A10" s="61">
        <v>3</v>
      </c>
      <c r="B10" s="43" t="s">
        <v>263</v>
      </c>
      <c r="C10" s="63" t="s">
        <v>246</v>
      </c>
      <c r="D10" s="66" t="s">
        <v>270</v>
      </c>
      <c r="E10" s="56" t="s">
        <v>277</v>
      </c>
      <c r="F10" s="56" t="s">
        <v>279</v>
      </c>
      <c r="G10" s="56" t="s">
        <v>278</v>
      </c>
      <c r="H10" s="55">
        <v>2016</v>
      </c>
      <c r="I10" s="23">
        <f>27620.08+9999.92</f>
        <v>37620</v>
      </c>
      <c r="J10" s="23">
        <f>I10-2093.695-2249.698-6262.242</f>
        <v>27014.365000000005</v>
      </c>
      <c r="K10" s="29">
        <f t="shared" si="1"/>
        <v>28.191480595427947</v>
      </c>
      <c r="L10" s="23">
        <v>13500</v>
      </c>
      <c r="M10" s="23"/>
      <c r="N10" s="23"/>
      <c r="O10" s="23">
        <f>J10-L10</f>
        <v>13514.365000000005</v>
      </c>
      <c r="P10" s="23"/>
      <c r="Q10" s="23"/>
      <c r="R10" s="23"/>
      <c r="S10" s="25" t="s">
        <v>470</v>
      </c>
      <c r="T10" s="52" t="s">
        <v>384</v>
      </c>
    </row>
    <row r="11" spans="1:19" s="52" customFormat="1" ht="94.5">
      <c r="A11" s="61">
        <v>4</v>
      </c>
      <c r="B11" s="43" t="s">
        <v>400</v>
      </c>
      <c r="C11" s="25" t="s">
        <v>233</v>
      </c>
      <c r="D11" s="64" t="s">
        <v>270</v>
      </c>
      <c r="E11" s="64" t="s">
        <v>339</v>
      </c>
      <c r="F11" s="64" t="s">
        <v>340</v>
      </c>
      <c r="G11" s="64"/>
      <c r="H11" s="55">
        <v>2017</v>
      </c>
      <c r="I11" s="23">
        <v>11144.39</v>
      </c>
      <c r="J11" s="23">
        <f>I11-207.8-139.719-2360.281</f>
        <v>8436.59</v>
      </c>
      <c r="K11" s="29">
        <f t="shared" si="1"/>
        <v>24.297426777060025</v>
      </c>
      <c r="L11" s="23">
        <v>8436.59</v>
      </c>
      <c r="M11" s="23"/>
      <c r="N11" s="23"/>
      <c r="O11" s="23"/>
      <c r="P11" s="23"/>
      <c r="Q11" s="23"/>
      <c r="R11" s="23"/>
      <c r="S11" s="25" t="s">
        <v>406</v>
      </c>
    </row>
    <row r="12" spans="1:19" s="52" customFormat="1" ht="94.5">
      <c r="A12" s="61">
        <v>5</v>
      </c>
      <c r="B12" s="43" t="s">
        <v>283</v>
      </c>
      <c r="C12" s="67" t="s">
        <v>385</v>
      </c>
      <c r="D12" s="66" t="s">
        <v>270</v>
      </c>
      <c r="E12" s="56" t="s">
        <v>276</v>
      </c>
      <c r="F12" s="56" t="s">
        <v>275</v>
      </c>
      <c r="G12" s="56"/>
      <c r="H12" s="55"/>
      <c r="I12" s="23">
        <v>5050</v>
      </c>
      <c r="J12" s="23">
        <f>I12-550</f>
        <v>4500</v>
      </c>
      <c r="K12" s="29">
        <f t="shared" si="1"/>
        <v>10.89108910891089</v>
      </c>
      <c r="L12" s="100">
        <v>2000</v>
      </c>
      <c r="M12" s="23"/>
      <c r="N12" s="23"/>
      <c r="O12" s="23"/>
      <c r="P12" s="23"/>
      <c r="Q12" s="23"/>
      <c r="R12" s="23"/>
      <c r="S12" s="74" t="s">
        <v>441</v>
      </c>
    </row>
    <row r="13" spans="1:19" s="52" customFormat="1" ht="78.75">
      <c r="A13" s="61">
        <v>6</v>
      </c>
      <c r="B13" s="43" t="s">
        <v>388</v>
      </c>
      <c r="C13" s="67" t="s">
        <v>386</v>
      </c>
      <c r="D13" s="66" t="s">
        <v>270</v>
      </c>
      <c r="E13" s="56" t="s">
        <v>387</v>
      </c>
      <c r="F13" s="56" t="s">
        <v>275</v>
      </c>
      <c r="G13" s="56"/>
      <c r="H13" s="55"/>
      <c r="I13" s="23">
        <v>3505.392</v>
      </c>
      <c r="J13" s="99">
        <f>I13-83.924</f>
        <v>3421.468</v>
      </c>
      <c r="K13" s="29">
        <f t="shared" si="1"/>
        <v>2.394140227398239</v>
      </c>
      <c r="L13" s="23">
        <v>350</v>
      </c>
      <c r="M13" s="23"/>
      <c r="N13" s="23"/>
      <c r="O13" s="23"/>
      <c r="P13" s="23"/>
      <c r="Q13" s="23"/>
      <c r="R13" s="23"/>
      <c r="S13" s="74" t="s">
        <v>461</v>
      </c>
    </row>
    <row r="14" spans="1:19" s="52" customFormat="1" ht="173.25">
      <c r="A14" s="61">
        <v>7</v>
      </c>
      <c r="B14" s="43" t="s">
        <v>263</v>
      </c>
      <c r="C14" s="25" t="s">
        <v>21</v>
      </c>
      <c r="D14" s="64" t="s">
        <v>270</v>
      </c>
      <c r="E14" s="64" t="s">
        <v>302</v>
      </c>
      <c r="F14" s="56" t="s">
        <v>303</v>
      </c>
      <c r="G14" s="64" t="s">
        <v>304</v>
      </c>
      <c r="H14" s="55">
        <v>2016</v>
      </c>
      <c r="I14" s="23">
        <f>7706.785+4593.215</f>
        <v>12300</v>
      </c>
      <c r="J14" s="23">
        <f>I14-95.619-4404.381-628.494</f>
        <v>7171.505999999999</v>
      </c>
      <c r="K14" s="29">
        <f t="shared" si="1"/>
        <v>41.69507317073171</v>
      </c>
      <c r="L14" s="100">
        <v>7171.506</v>
      </c>
      <c r="M14" s="23"/>
      <c r="N14" s="23"/>
      <c r="O14" s="23"/>
      <c r="P14" s="23"/>
      <c r="Q14" s="23"/>
      <c r="R14" s="23"/>
      <c r="S14" s="25" t="s">
        <v>419</v>
      </c>
    </row>
    <row r="15" spans="1:19" s="52" customFormat="1" ht="78.75">
      <c r="A15" s="61">
        <v>8</v>
      </c>
      <c r="B15" s="3" t="s">
        <v>376</v>
      </c>
      <c r="C15" s="25" t="s">
        <v>337</v>
      </c>
      <c r="D15" s="64" t="s">
        <v>270</v>
      </c>
      <c r="E15" s="64" t="s">
        <v>440</v>
      </c>
      <c r="F15" s="64" t="s">
        <v>437</v>
      </c>
      <c r="G15" s="64"/>
      <c r="H15" s="55">
        <v>2017</v>
      </c>
      <c r="I15" s="7">
        <v>6356.36</v>
      </c>
      <c r="J15" s="7">
        <f>I15-238.796-3200</f>
        <v>2917.5639999999994</v>
      </c>
      <c r="K15" s="9">
        <f t="shared" si="1"/>
        <v>54.10008243711811</v>
      </c>
      <c r="L15" s="23">
        <v>2917.564</v>
      </c>
      <c r="M15" s="23"/>
      <c r="N15" s="23"/>
      <c r="O15" s="23"/>
      <c r="P15" s="23"/>
      <c r="Q15" s="23"/>
      <c r="R15" s="23"/>
      <c r="S15" s="25" t="s">
        <v>431</v>
      </c>
    </row>
    <row r="16" spans="1:19" s="73" customFormat="1" ht="31.5">
      <c r="A16" s="70"/>
      <c r="B16" s="70"/>
      <c r="C16" s="71" t="s">
        <v>391</v>
      </c>
      <c r="D16" s="71"/>
      <c r="E16" s="71"/>
      <c r="F16" s="71"/>
      <c r="G16" s="71"/>
      <c r="H16" s="71"/>
      <c r="I16" s="72">
        <f>SUM(I17:I21)</f>
        <v>102386.44699999999</v>
      </c>
      <c r="J16" s="72">
        <f>SUM(J17:J21)</f>
        <v>80157.69099999999</v>
      </c>
      <c r="K16" s="72" t="s">
        <v>30</v>
      </c>
      <c r="L16" s="72">
        <f aca="true" t="shared" si="2" ref="L16:R16">SUM(L17:L21)</f>
        <v>31709.444</v>
      </c>
      <c r="M16" s="72">
        <f t="shared" si="2"/>
        <v>500</v>
      </c>
      <c r="N16" s="72">
        <f t="shared" si="2"/>
        <v>0</v>
      </c>
      <c r="O16" s="72">
        <f t="shared" si="2"/>
        <v>44948.246999999996</v>
      </c>
      <c r="P16" s="72">
        <f t="shared" si="2"/>
        <v>0</v>
      </c>
      <c r="Q16" s="72">
        <f t="shared" si="2"/>
        <v>0</v>
      </c>
      <c r="R16" s="72">
        <f t="shared" si="2"/>
        <v>0</v>
      </c>
      <c r="S16" s="72"/>
    </row>
    <row r="17" spans="1:19" s="52" customFormat="1" ht="78.75">
      <c r="A17" s="61">
        <v>1</v>
      </c>
      <c r="B17" s="43" t="s">
        <v>305</v>
      </c>
      <c r="C17" s="63" t="s">
        <v>29</v>
      </c>
      <c r="D17" s="66" t="s">
        <v>270</v>
      </c>
      <c r="E17" s="56" t="s">
        <v>306</v>
      </c>
      <c r="F17" s="56" t="s">
        <v>307</v>
      </c>
      <c r="G17" s="56" t="s">
        <v>308</v>
      </c>
      <c r="H17" s="55">
        <v>2011</v>
      </c>
      <c r="I17" s="23">
        <v>70790.65</v>
      </c>
      <c r="J17" s="23">
        <f>I17-18842.403-3000</f>
        <v>48948.246999999996</v>
      </c>
      <c r="K17" s="29">
        <f>100-(J17/I17*100)</f>
        <v>30.854926462746135</v>
      </c>
      <c r="L17" s="23">
        <v>4000</v>
      </c>
      <c r="M17" s="23"/>
      <c r="N17" s="23"/>
      <c r="O17" s="23">
        <f>J17-L17</f>
        <v>44948.246999999996</v>
      </c>
      <c r="P17" s="23"/>
      <c r="Q17" s="23"/>
      <c r="R17" s="23"/>
      <c r="S17" s="6" t="s">
        <v>467</v>
      </c>
    </row>
    <row r="18" spans="1:19" s="52" customFormat="1" ht="94.5">
      <c r="A18" s="61">
        <v>3</v>
      </c>
      <c r="B18" s="43" t="s">
        <v>334</v>
      </c>
      <c r="C18" s="25" t="s">
        <v>335</v>
      </c>
      <c r="D18" s="64" t="s">
        <v>270</v>
      </c>
      <c r="E18" s="64" t="s">
        <v>336</v>
      </c>
      <c r="F18" s="64"/>
      <c r="G18" s="64"/>
      <c r="H18" s="55">
        <v>2018</v>
      </c>
      <c r="I18" s="23">
        <v>7785.333</v>
      </c>
      <c r="J18" s="23">
        <f>I18-47.473-237.86</f>
        <v>7500</v>
      </c>
      <c r="K18" s="29">
        <f>100-(J18/I18*100)</f>
        <v>3.6650070074073824</v>
      </c>
      <c r="L18" s="100">
        <v>4000</v>
      </c>
      <c r="M18" s="23"/>
      <c r="N18" s="23"/>
      <c r="O18" s="23"/>
      <c r="P18" s="23"/>
      <c r="Q18" s="23"/>
      <c r="R18" s="23"/>
      <c r="S18" s="25" t="s">
        <v>398</v>
      </c>
    </row>
    <row r="19" spans="1:19" s="52" customFormat="1" ht="94.5">
      <c r="A19" s="61">
        <v>4</v>
      </c>
      <c r="B19" s="43" t="s">
        <v>338</v>
      </c>
      <c r="C19" s="63" t="s">
        <v>366</v>
      </c>
      <c r="D19" s="56" t="s">
        <v>270</v>
      </c>
      <c r="E19" s="68" t="s">
        <v>367</v>
      </c>
      <c r="F19" s="56" t="s">
        <v>368</v>
      </c>
      <c r="G19" s="56"/>
      <c r="H19" s="55"/>
      <c r="I19" s="23">
        <v>1984.14</v>
      </c>
      <c r="J19" s="23">
        <f>I19-85</f>
        <v>1899.14</v>
      </c>
      <c r="K19" s="29">
        <f>100-(J19/I19*100)</f>
        <v>4.283971897144355</v>
      </c>
      <c r="L19" s="23">
        <v>1899.14</v>
      </c>
      <c r="M19" s="23"/>
      <c r="N19" s="23"/>
      <c r="O19" s="23"/>
      <c r="P19" s="23"/>
      <c r="Q19" s="23"/>
      <c r="R19" s="23"/>
      <c r="S19" s="25" t="s">
        <v>369</v>
      </c>
    </row>
    <row r="20" spans="1:19" s="110" customFormat="1" ht="78.75">
      <c r="A20" s="101">
        <v>6</v>
      </c>
      <c r="B20" s="102" t="s">
        <v>305</v>
      </c>
      <c r="C20" s="103" t="s">
        <v>473</v>
      </c>
      <c r="D20" s="104" t="s">
        <v>270</v>
      </c>
      <c r="E20" s="104" t="s">
        <v>363</v>
      </c>
      <c r="F20" s="104"/>
      <c r="G20" s="104"/>
      <c r="H20" s="105"/>
      <c r="I20" s="106">
        <f>L20</f>
        <v>20000</v>
      </c>
      <c r="J20" s="106">
        <f>I20</f>
        <v>20000</v>
      </c>
      <c r="K20" s="107">
        <f>100-(J20/I20*100)</f>
        <v>0</v>
      </c>
      <c r="L20" s="106">
        <v>20000</v>
      </c>
      <c r="M20" s="108">
        <v>500</v>
      </c>
      <c r="N20" s="106"/>
      <c r="O20" s="106"/>
      <c r="P20" s="106"/>
      <c r="Q20" s="106"/>
      <c r="R20" s="106"/>
      <c r="S20" s="109" t="s">
        <v>474</v>
      </c>
    </row>
    <row r="21" spans="1:19" s="52" customFormat="1" ht="78.75">
      <c r="A21" s="61">
        <v>12</v>
      </c>
      <c r="B21" s="43" t="s">
        <v>372</v>
      </c>
      <c r="C21" s="25" t="s">
        <v>471</v>
      </c>
      <c r="D21" s="64" t="s">
        <v>270</v>
      </c>
      <c r="E21" s="64" t="s">
        <v>468</v>
      </c>
      <c r="F21" s="64"/>
      <c r="G21" s="64"/>
      <c r="H21" s="55"/>
      <c r="I21" s="23">
        <v>1826.324</v>
      </c>
      <c r="J21" s="23">
        <f>I21-16.02</f>
        <v>1810.304</v>
      </c>
      <c r="K21" s="29">
        <f>100-(J21/I21*100)</f>
        <v>0.8771718490257001</v>
      </c>
      <c r="L21" s="23">
        <v>1810.304</v>
      </c>
      <c r="M21" s="23"/>
      <c r="N21" s="23"/>
      <c r="O21" s="23"/>
      <c r="P21" s="23"/>
      <c r="Q21" s="23"/>
      <c r="R21" s="23"/>
      <c r="S21" s="25" t="s">
        <v>472</v>
      </c>
    </row>
    <row r="22" spans="1:19" s="73" customFormat="1" ht="31.5">
      <c r="A22" s="70"/>
      <c r="B22" s="70"/>
      <c r="C22" s="71" t="s">
        <v>394</v>
      </c>
      <c r="D22" s="71"/>
      <c r="E22" s="71"/>
      <c r="F22" s="71"/>
      <c r="G22" s="71"/>
      <c r="H22" s="71"/>
      <c r="I22" s="72">
        <f>SUM(I23:I28)</f>
        <v>107126.144</v>
      </c>
      <c r="J22" s="72">
        <f>SUM(J23:J28)</f>
        <v>84931.22909000001</v>
      </c>
      <c r="K22" s="72" t="s">
        <v>30</v>
      </c>
      <c r="L22" s="72">
        <f aca="true" t="shared" si="3" ref="L22:R22">SUM(L23:L28)</f>
        <v>27017.108</v>
      </c>
      <c r="M22" s="72">
        <f t="shared" si="3"/>
        <v>0</v>
      </c>
      <c r="N22" s="72">
        <f t="shared" si="3"/>
        <v>0</v>
      </c>
      <c r="O22" s="72">
        <f t="shared" si="3"/>
        <v>41313.326</v>
      </c>
      <c r="P22" s="72">
        <f t="shared" si="3"/>
        <v>0</v>
      </c>
      <c r="Q22" s="72">
        <f t="shared" si="3"/>
        <v>16600.795</v>
      </c>
      <c r="R22" s="72">
        <f t="shared" si="3"/>
        <v>0</v>
      </c>
      <c r="S22" s="72"/>
    </row>
    <row r="23" spans="1:19" s="52" customFormat="1" ht="94.5">
      <c r="A23" s="61">
        <v>1</v>
      </c>
      <c r="B23" s="43" t="s">
        <v>292</v>
      </c>
      <c r="C23" s="25" t="s">
        <v>310</v>
      </c>
      <c r="D23" s="64" t="s">
        <v>270</v>
      </c>
      <c r="E23" s="64" t="s">
        <v>311</v>
      </c>
      <c r="F23" s="64" t="s">
        <v>315</v>
      </c>
      <c r="G23" s="64" t="s">
        <v>312</v>
      </c>
      <c r="H23" s="55">
        <v>2016</v>
      </c>
      <c r="I23" s="28">
        <f>4485.15+4814.85</f>
        <v>9300</v>
      </c>
      <c r="J23" s="28">
        <f>I23-1990.93498-2494.215</f>
        <v>4814.85002</v>
      </c>
      <c r="K23" s="29">
        <f>100-(J23/I23*100)</f>
        <v>48.22741913978494</v>
      </c>
      <c r="L23" s="23">
        <v>4814.85</v>
      </c>
      <c r="M23" s="23"/>
      <c r="N23" s="23"/>
      <c r="O23" s="23"/>
      <c r="P23" s="23"/>
      <c r="Q23" s="23"/>
      <c r="R23" s="23"/>
      <c r="S23" s="25" t="s">
        <v>435</v>
      </c>
    </row>
    <row r="24" spans="1:19" s="52" customFormat="1" ht="94.5">
      <c r="A24" s="61">
        <v>2</v>
      </c>
      <c r="B24" s="43" t="s">
        <v>322</v>
      </c>
      <c r="C24" s="25" t="s">
        <v>320</v>
      </c>
      <c r="D24" s="64" t="s">
        <v>270</v>
      </c>
      <c r="E24" s="64" t="s">
        <v>321</v>
      </c>
      <c r="F24" s="64" t="s">
        <v>323</v>
      </c>
      <c r="G24" s="64" t="s">
        <v>324</v>
      </c>
      <c r="H24" s="55">
        <v>2015</v>
      </c>
      <c r="I24" s="23">
        <v>25129.262</v>
      </c>
      <c r="J24" s="23">
        <f>I24-107.715-8982.38893-7500</f>
        <v>8539.15807</v>
      </c>
      <c r="K24" s="29">
        <f>100-(J24/I24*100)</f>
        <v>66.01906546240792</v>
      </c>
      <c r="L24" s="23">
        <v>8539.158</v>
      </c>
      <c r="M24" s="23"/>
      <c r="N24" s="23"/>
      <c r="O24" s="23"/>
      <c r="P24" s="23"/>
      <c r="Q24" s="23"/>
      <c r="R24" s="23"/>
      <c r="S24" s="25" t="s">
        <v>325</v>
      </c>
    </row>
    <row r="25" spans="1:19" s="52" customFormat="1" ht="94.5">
      <c r="A25" s="61">
        <v>3</v>
      </c>
      <c r="B25" s="43" t="s">
        <v>261</v>
      </c>
      <c r="C25" s="63" t="s">
        <v>293</v>
      </c>
      <c r="D25" s="56" t="s">
        <v>270</v>
      </c>
      <c r="E25" s="64" t="s">
        <v>299</v>
      </c>
      <c r="F25" s="56" t="s">
        <v>294</v>
      </c>
      <c r="G25" s="56" t="s">
        <v>295</v>
      </c>
      <c r="H25" s="55">
        <v>2018</v>
      </c>
      <c r="I25" s="23">
        <v>32780.918</v>
      </c>
      <c r="J25" s="23">
        <f>I25-467.592</f>
        <v>32313.325999999997</v>
      </c>
      <c r="K25" s="29">
        <f>100-(J25/I25*100)</f>
        <v>1.426415208994456</v>
      </c>
      <c r="L25" s="100">
        <v>6000</v>
      </c>
      <c r="M25" s="23"/>
      <c r="N25" s="23"/>
      <c r="O25" s="23">
        <f>J25-L25</f>
        <v>26313.325999999997</v>
      </c>
      <c r="P25" s="23"/>
      <c r="Q25" s="23"/>
      <c r="R25" s="23"/>
      <c r="S25" s="25" t="s">
        <v>296</v>
      </c>
    </row>
    <row r="26" spans="1:19" s="52" customFormat="1" ht="78.75">
      <c r="A26" s="61">
        <v>4</v>
      </c>
      <c r="B26" s="43" t="s">
        <v>354</v>
      </c>
      <c r="C26" s="25" t="s">
        <v>112</v>
      </c>
      <c r="D26" s="56" t="s">
        <v>270</v>
      </c>
      <c r="E26" s="64" t="s">
        <v>434</v>
      </c>
      <c r="F26" s="64"/>
      <c r="G26" s="64"/>
      <c r="H26" s="55"/>
      <c r="I26" s="23">
        <v>35092.864</v>
      </c>
      <c r="J26" s="23">
        <f>I26-492.069</f>
        <v>34600.795</v>
      </c>
      <c r="K26" s="29">
        <v>0</v>
      </c>
      <c r="L26" s="100">
        <v>3000</v>
      </c>
      <c r="M26" s="23"/>
      <c r="N26" s="23"/>
      <c r="O26" s="23">
        <v>15000</v>
      </c>
      <c r="P26" s="23"/>
      <c r="Q26" s="23">
        <f>J26-L26-O26</f>
        <v>16600.795</v>
      </c>
      <c r="R26" s="23"/>
      <c r="S26" s="25" t="s">
        <v>450</v>
      </c>
    </row>
    <row r="27" spans="1:19" s="52" customFormat="1" ht="78.75">
      <c r="A27" s="61">
        <v>5</v>
      </c>
      <c r="B27" s="43" t="s">
        <v>351</v>
      </c>
      <c r="C27" s="25" t="s">
        <v>436</v>
      </c>
      <c r="D27" s="56" t="s">
        <v>270</v>
      </c>
      <c r="E27" s="64" t="s">
        <v>349</v>
      </c>
      <c r="F27" s="64"/>
      <c r="G27" s="64"/>
      <c r="H27" s="55"/>
      <c r="I27" s="28">
        <f>L27+85</f>
        <v>3348.1</v>
      </c>
      <c r="J27" s="28">
        <f>I27-85</f>
        <v>3263.1</v>
      </c>
      <c r="K27" s="29">
        <f>100-(J27/I27*100)</f>
        <v>2.5387533227800816</v>
      </c>
      <c r="L27" s="23">
        <v>3263.1</v>
      </c>
      <c r="M27" s="23"/>
      <c r="N27" s="23"/>
      <c r="O27" s="23"/>
      <c r="P27" s="23"/>
      <c r="Q27" s="23"/>
      <c r="R27" s="23"/>
      <c r="S27" s="25" t="s">
        <v>469</v>
      </c>
    </row>
    <row r="28" spans="1:19" s="52" customFormat="1" ht="47.25">
      <c r="A28" s="61">
        <v>6</v>
      </c>
      <c r="B28" s="43" t="s">
        <v>350</v>
      </c>
      <c r="C28" s="25" t="s">
        <v>125</v>
      </c>
      <c r="D28" s="64" t="s">
        <v>270</v>
      </c>
      <c r="E28" s="64" t="s">
        <v>349</v>
      </c>
      <c r="F28" s="64"/>
      <c r="G28" s="64"/>
      <c r="H28" s="55"/>
      <c r="I28" s="28">
        <v>1475</v>
      </c>
      <c r="J28" s="28">
        <f>I28-75</f>
        <v>1400</v>
      </c>
      <c r="K28" s="29">
        <f>100-(J28/I28*100)</f>
        <v>5.0847457627118615</v>
      </c>
      <c r="L28" s="23">
        <v>1400</v>
      </c>
      <c r="M28" s="23"/>
      <c r="N28" s="23"/>
      <c r="O28" s="23"/>
      <c r="P28" s="23"/>
      <c r="Q28" s="23"/>
      <c r="R28" s="23"/>
      <c r="S28" s="25" t="s">
        <v>446</v>
      </c>
    </row>
    <row r="29" spans="1:19" s="73" customFormat="1" ht="31.5">
      <c r="A29" s="70"/>
      <c r="B29" s="70"/>
      <c r="C29" s="71" t="s">
        <v>395</v>
      </c>
      <c r="D29" s="71"/>
      <c r="E29" s="71"/>
      <c r="F29" s="71"/>
      <c r="G29" s="71"/>
      <c r="H29" s="71"/>
      <c r="I29" s="72">
        <f>SUM(I30:I33)</f>
        <v>52755.573000000004</v>
      </c>
      <c r="J29" s="72">
        <f>SUM(J30:J33)</f>
        <v>33921.136000000006</v>
      </c>
      <c r="K29" s="72" t="s">
        <v>30</v>
      </c>
      <c r="L29" s="72">
        <f aca="true" t="shared" si="4" ref="L29:R29">SUM(L30:L33)</f>
        <v>17000</v>
      </c>
      <c r="M29" s="72">
        <f t="shared" si="4"/>
        <v>0</v>
      </c>
      <c r="N29" s="72">
        <f t="shared" si="4"/>
        <v>0</v>
      </c>
      <c r="O29" s="72">
        <f t="shared" si="4"/>
        <v>0</v>
      </c>
      <c r="P29" s="72">
        <f t="shared" si="4"/>
        <v>0</v>
      </c>
      <c r="Q29" s="72">
        <f t="shared" si="4"/>
        <v>0</v>
      </c>
      <c r="R29" s="72">
        <f t="shared" si="4"/>
        <v>0</v>
      </c>
      <c r="S29" s="72"/>
    </row>
    <row r="30" spans="1:19" s="52" customFormat="1" ht="110.25">
      <c r="A30" s="61">
        <v>1</v>
      </c>
      <c r="B30" s="43" t="s">
        <v>27</v>
      </c>
      <c r="C30" s="25" t="s">
        <v>313</v>
      </c>
      <c r="D30" s="64" t="s">
        <v>270</v>
      </c>
      <c r="E30" s="64" t="s">
        <v>314</v>
      </c>
      <c r="F30" s="64" t="s">
        <v>317</v>
      </c>
      <c r="G30" s="64" t="s">
        <v>316</v>
      </c>
      <c r="H30" s="55">
        <v>2018</v>
      </c>
      <c r="I30" s="23">
        <v>14403.659</v>
      </c>
      <c r="J30" s="23">
        <f>I30-400.791</f>
        <v>14002.868</v>
      </c>
      <c r="K30" s="29">
        <f>100-(J30/I30*100)</f>
        <v>2.7825637916032235</v>
      </c>
      <c r="L30" s="100">
        <v>8000</v>
      </c>
      <c r="M30" s="23"/>
      <c r="N30" s="23"/>
      <c r="O30" s="23"/>
      <c r="P30" s="23"/>
      <c r="Q30" s="23"/>
      <c r="R30" s="23"/>
      <c r="S30" s="25" t="s">
        <v>318</v>
      </c>
    </row>
    <row r="31" spans="1:19" s="52" customFormat="1" ht="94.5">
      <c r="A31" s="61">
        <v>2</v>
      </c>
      <c r="B31" s="43" t="s">
        <v>262</v>
      </c>
      <c r="C31" s="25" t="s">
        <v>79</v>
      </c>
      <c r="D31" s="64" t="s">
        <v>270</v>
      </c>
      <c r="E31" s="64" t="s">
        <v>297</v>
      </c>
      <c r="F31" s="56" t="s">
        <v>300</v>
      </c>
      <c r="G31" s="64" t="s">
        <v>301</v>
      </c>
      <c r="H31" s="55">
        <v>2017</v>
      </c>
      <c r="I31" s="23">
        <v>21981.914</v>
      </c>
      <c r="J31" s="23">
        <f>I31-215.963-14932.538</f>
        <v>6833.4130000000005</v>
      </c>
      <c r="K31" s="29">
        <f>100-(J31/I31*100)</f>
        <v>68.91347586929874</v>
      </c>
      <c r="L31" s="100">
        <v>3000</v>
      </c>
      <c r="M31" s="23"/>
      <c r="N31" s="23"/>
      <c r="O31" s="23"/>
      <c r="P31" s="23"/>
      <c r="Q31" s="23"/>
      <c r="R31" s="23"/>
      <c r="S31" s="25" t="s">
        <v>298</v>
      </c>
    </row>
    <row r="32" spans="1:19" s="52" customFormat="1" ht="94.5">
      <c r="A32" s="61">
        <v>3</v>
      </c>
      <c r="B32" s="43" t="s">
        <v>330</v>
      </c>
      <c r="C32" s="25" t="s">
        <v>61</v>
      </c>
      <c r="D32" s="64" t="s">
        <v>270</v>
      </c>
      <c r="E32" s="64" t="s">
        <v>331</v>
      </c>
      <c r="F32" s="64" t="s">
        <v>332</v>
      </c>
      <c r="G32" s="64" t="s">
        <v>333</v>
      </c>
      <c r="H32" s="55">
        <v>2016</v>
      </c>
      <c r="I32" s="23">
        <v>8570</v>
      </c>
      <c r="J32" s="23">
        <f>I32-1520-71.8</f>
        <v>6978.2</v>
      </c>
      <c r="K32" s="29">
        <f>100-(J32/I32*100)</f>
        <v>18.574095682613773</v>
      </c>
      <c r="L32" s="100">
        <v>3000</v>
      </c>
      <c r="M32" s="23"/>
      <c r="N32" s="23"/>
      <c r="O32" s="23"/>
      <c r="P32" s="23"/>
      <c r="Q32" s="23"/>
      <c r="R32" s="23"/>
      <c r="S32" s="25" t="s">
        <v>447</v>
      </c>
    </row>
    <row r="33" spans="1:19" s="52" customFormat="1" ht="110.25">
      <c r="A33" s="61">
        <v>4</v>
      </c>
      <c r="B33" s="43" t="s">
        <v>326</v>
      </c>
      <c r="C33" s="25" t="s">
        <v>63</v>
      </c>
      <c r="D33" s="64" t="s">
        <v>270</v>
      </c>
      <c r="E33" s="64" t="s">
        <v>327</v>
      </c>
      <c r="F33" s="64" t="s">
        <v>328</v>
      </c>
      <c r="G33" s="64" t="s">
        <v>329</v>
      </c>
      <c r="H33" s="55">
        <v>2016</v>
      </c>
      <c r="I33" s="23">
        <f>4771.333+3028.667</f>
        <v>7800</v>
      </c>
      <c r="J33" s="23">
        <f>I33-1660-33.345</f>
        <v>6106.655</v>
      </c>
      <c r="K33" s="29">
        <f>100-(J33/I33*100)</f>
        <v>21.709551282051294</v>
      </c>
      <c r="L33" s="100">
        <v>3000</v>
      </c>
      <c r="M33" s="23"/>
      <c r="N33" s="23"/>
      <c r="O33" s="23"/>
      <c r="P33" s="23"/>
      <c r="Q33" s="23"/>
      <c r="R33" s="23"/>
      <c r="S33" s="25" t="s">
        <v>448</v>
      </c>
    </row>
    <row r="34" spans="1:19" s="92" customFormat="1" ht="33.75" customHeight="1">
      <c r="A34" s="88"/>
      <c r="B34" s="86"/>
      <c r="C34" s="86" t="s">
        <v>439</v>
      </c>
      <c r="D34" s="86"/>
      <c r="E34" s="86"/>
      <c r="F34" s="86"/>
      <c r="G34" s="86"/>
      <c r="H34" s="89"/>
      <c r="I34" s="90">
        <f>I35</f>
        <v>33100</v>
      </c>
      <c r="J34" s="90">
        <f>J35</f>
        <v>31983.779</v>
      </c>
      <c r="K34" s="91" t="s">
        <v>30</v>
      </c>
      <c r="L34" s="90">
        <f aca="true" t="shared" si="5" ref="L34:R34">L35</f>
        <v>5000</v>
      </c>
      <c r="M34" s="90">
        <f t="shared" si="5"/>
        <v>0</v>
      </c>
      <c r="N34" s="90">
        <f t="shared" si="5"/>
        <v>0</v>
      </c>
      <c r="O34" s="90">
        <f t="shared" si="5"/>
        <v>26983.779</v>
      </c>
      <c r="P34" s="90">
        <f t="shared" si="5"/>
        <v>0</v>
      </c>
      <c r="Q34" s="90">
        <f t="shared" si="5"/>
        <v>0</v>
      </c>
      <c r="R34" s="90">
        <f t="shared" si="5"/>
        <v>0</v>
      </c>
      <c r="S34" s="87"/>
    </row>
    <row r="35" spans="1:19" s="52" customFormat="1" ht="78.75">
      <c r="A35" s="61">
        <v>1</v>
      </c>
      <c r="B35" s="43" t="s">
        <v>292</v>
      </c>
      <c r="C35" s="25" t="s">
        <v>309</v>
      </c>
      <c r="D35" s="64" t="s">
        <v>270</v>
      </c>
      <c r="E35" s="64" t="s">
        <v>399</v>
      </c>
      <c r="F35" s="64"/>
      <c r="G35" s="64"/>
      <c r="H35" s="55">
        <v>2018</v>
      </c>
      <c r="I35" s="28">
        <v>33100</v>
      </c>
      <c r="J35" s="28">
        <f>I35-1116.221</f>
        <v>31983.779</v>
      </c>
      <c r="K35" s="29">
        <f>100-(J35/I35*100)</f>
        <v>3.3722688821752342</v>
      </c>
      <c r="L35" s="100">
        <v>5000</v>
      </c>
      <c r="M35" s="23"/>
      <c r="N35" s="23"/>
      <c r="O35" s="23">
        <f>J35-L35</f>
        <v>26983.779</v>
      </c>
      <c r="P35" s="23"/>
      <c r="Q35" s="23"/>
      <c r="R35" s="23"/>
      <c r="S35" s="25" t="s">
        <v>449</v>
      </c>
    </row>
    <row r="36" spans="1:19" s="52" customFormat="1" ht="15.75">
      <c r="A36" s="77"/>
      <c r="B36" s="78"/>
      <c r="C36" s="79"/>
      <c r="D36" s="80"/>
      <c r="E36" s="80"/>
      <c r="F36" s="80"/>
      <c r="G36" s="80"/>
      <c r="H36" s="81"/>
      <c r="I36" s="94"/>
      <c r="J36" s="94"/>
      <c r="K36" s="82"/>
      <c r="L36" s="83"/>
      <c r="M36" s="83"/>
      <c r="N36" s="83"/>
      <c r="O36" s="83"/>
      <c r="P36" s="83"/>
      <c r="Q36" s="83"/>
      <c r="R36" s="83"/>
      <c r="S36" s="79"/>
    </row>
    <row r="37" spans="2:19" ht="40.5" customHeight="1">
      <c r="B37" s="149" t="s">
        <v>381</v>
      </c>
      <c r="C37" s="149"/>
      <c r="D37" s="149"/>
      <c r="E37" s="149"/>
      <c r="F37" s="149"/>
      <c r="G37" s="149"/>
      <c r="H37" s="149"/>
      <c r="I37" s="149"/>
      <c r="J37" s="149"/>
      <c r="S37" s="18" t="s">
        <v>382</v>
      </c>
    </row>
    <row r="38" ht="15.75">
      <c r="S38" s="18"/>
    </row>
    <row r="39" spans="1:8" ht="15.75">
      <c r="A39" s="18"/>
      <c r="C39" s="19"/>
      <c r="D39" s="57"/>
      <c r="E39" s="57"/>
      <c r="F39" s="57"/>
      <c r="G39" s="57"/>
      <c r="H39" s="57"/>
    </row>
  </sheetData>
  <sheetProtection/>
  <mergeCells count="17">
    <mergeCell ref="B37:J37"/>
    <mergeCell ref="J3:J4"/>
    <mergeCell ref="K3:K4"/>
    <mergeCell ref="L3:M3"/>
    <mergeCell ref="O3:P3"/>
    <mergeCell ref="Q3:R3"/>
    <mergeCell ref="I3:I4"/>
    <mergeCell ref="S3:S4"/>
    <mergeCell ref="A1:S1"/>
    <mergeCell ref="A3:A4"/>
    <mergeCell ref="B3:B4"/>
    <mergeCell ref="C3:C4"/>
    <mergeCell ref="D3:D4"/>
    <mergeCell ref="E3:E4"/>
    <mergeCell ref="F3:F4"/>
    <mergeCell ref="G3:G4"/>
    <mergeCell ref="H3:H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37" max="18" man="1"/>
    <brk id="38" max="9" man="1"/>
  </rowBreaks>
</worksheet>
</file>

<file path=xl/worksheets/sheet12.xml><?xml version="1.0" encoding="utf-8"?>
<worksheet xmlns="http://schemas.openxmlformats.org/spreadsheetml/2006/main" xmlns:r="http://schemas.openxmlformats.org/officeDocument/2006/relationships">
  <sheetPr>
    <tabColor rgb="FFFFC000"/>
  </sheetPr>
  <dimension ref="A1:T41"/>
  <sheetViews>
    <sheetView zoomScale="70" zoomScaleNormal="70" zoomScaleSheetLayoutView="55" zoomScalePageLayoutView="0" workbookViewId="0" topLeftCell="A3">
      <pane xSplit="3" ySplit="3" topLeftCell="D33"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48" t="s">
        <v>451</v>
      </c>
      <c r="B1" s="148"/>
      <c r="C1" s="148"/>
      <c r="D1" s="148"/>
      <c r="E1" s="148"/>
      <c r="F1" s="148"/>
      <c r="G1" s="148"/>
      <c r="H1" s="148"/>
      <c r="I1" s="148"/>
      <c r="J1" s="148"/>
      <c r="K1" s="148"/>
      <c r="L1" s="148"/>
      <c r="M1" s="148"/>
      <c r="N1" s="148"/>
      <c r="O1" s="148"/>
      <c r="P1" s="148"/>
      <c r="Q1" s="148"/>
      <c r="R1" s="148"/>
      <c r="S1" s="148"/>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50" t="s">
        <v>12</v>
      </c>
      <c r="B3" s="150" t="s">
        <v>254</v>
      </c>
      <c r="C3" s="150" t="s">
        <v>256</v>
      </c>
      <c r="D3" s="150" t="s">
        <v>269</v>
      </c>
      <c r="E3" s="150" t="s">
        <v>258</v>
      </c>
      <c r="F3" s="150" t="s">
        <v>259</v>
      </c>
      <c r="G3" s="150" t="s">
        <v>257</v>
      </c>
      <c r="H3" s="150" t="s">
        <v>250</v>
      </c>
      <c r="I3" s="150" t="s">
        <v>11</v>
      </c>
      <c r="J3" s="150" t="s">
        <v>251</v>
      </c>
      <c r="K3" s="150" t="s">
        <v>16</v>
      </c>
      <c r="L3" s="152" t="s">
        <v>241</v>
      </c>
      <c r="M3" s="153"/>
      <c r="N3" s="53" t="s">
        <v>252</v>
      </c>
      <c r="O3" s="154" t="s">
        <v>242</v>
      </c>
      <c r="P3" s="155"/>
      <c r="Q3" s="154" t="s">
        <v>253</v>
      </c>
      <c r="R3" s="155"/>
      <c r="S3" s="150" t="s">
        <v>255</v>
      </c>
    </row>
    <row r="4" spans="1:19" s="54" customFormat="1" ht="129.75" customHeight="1">
      <c r="A4" s="151"/>
      <c r="B4" s="151"/>
      <c r="C4" s="151"/>
      <c r="D4" s="151"/>
      <c r="E4" s="151"/>
      <c r="F4" s="151"/>
      <c r="G4" s="151"/>
      <c r="H4" s="151"/>
      <c r="I4" s="151"/>
      <c r="J4" s="151"/>
      <c r="K4" s="151"/>
      <c r="L4" s="53" t="s">
        <v>273</v>
      </c>
      <c r="M4" s="60" t="s">
        <v>274</v>
      </c>
      <c r="N4" s="53"/>
      <c r="O4" s="75" t="s">
        <v>273</v>
      </c>
      <c r="P4" s="76" t="s">
        <v>274</v>
      </c>
      <c r="Q4" s="75" t="s">
        <v>273</v>
      </c>
      <c r="R4" s="76" t="s">
        <v>274</v>
      </c>
      <c r="S4" s="151"/>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I7+I18+I23+I26+I31+I36</f>
        <v>230989.445</v>
      </c>
      <c r="J6" s="22">
        <f>J7+J18+J23+J26+J31+J36</f>
        <v>163609.07609000002</v>
      </c>
      <c r="K6" s="22" t="s">
        <v>30</v>
      </c>
      <c r="L6" s="22">
        <f>L7+L18+L23+L26+L31+L36</f>
        <v>115252.212</v>
      </c>
      <c r="M6" s="22">
        <f>M7+M18+M23+M26+M31+M36</f>
        <v>1950</v>
      </c>
      <c r="N6" s="22" t="e">
        <f>N7+N18+N23+N26+N31+#REF!</f>
        <v>#REF!</v>
      </c>
      <c r="O6" s="22" t="e">
        <f>O7+O18+O23+O26+O31+#REF!</f>
        <v>#REF!</v>
      </c>
      <c r="P6" s="22" t="e">
        <f>P7+P18+P23+P26+P31+#REF!</f>
        <v>#REF!</v>
      </c>
      <c r="Q6" s="22" t="e">
        <f>Q7+Q18+Q23+Q26+Q31+#REF!</f>
        <v>#REF!</v>
      </c>
      <c r="R6" s="22" t="e">
        <f>R7+R18+R23+R26+R31+#REF!</f>
        <v>#REF!</v>
      </c>
      <c r="S6" s="22" t="s">
        <v>30</v>
      </c>
    </row>
    <row r="7" spans="1:19" s="73" customFormat="1" ht="31.5">
      <c r="A7" s="70"/>
      <c r="B7" s="70"/>
      <c r="C7" s="71" t="s">
        <v>383</v>
      </c>
      <c r="D7" s="71"/>
      <c r="E7" s="71"/>
      <c r="F7" s="71"/>
      <c r="G7" s="71"/>
      <c r="H7" s="71"/>
      <c r="I7" s="72">
        <f>SUM(I8:I17)</f>
        <v>97885.713</v>
      </c>
      <c r="J7" s="72">
        <f>SUM(J8:J17)</f>
        <v>70961.388</v>
      </c>
      <c r="K7" s="72" t="s">
        <v>30</v>
      </c>
      <c r="L7" s="72">
        <f>SUM(L8:L17)</f>
        <v>44325.659999999996</v>
      </c>
      <c r="M7" s="72">
        <f>SUM(M8:M17)</f>
        <v>450</v>
      </c>
      <c r="N7" s="72">
        <f>SUM(N8:N16)</f>
        <v>0</v>
      </c>
      <c r="O7" s="72">
        <f>SUM(O8:O16)</f>
        <v>13514.365000000005</v>
      </c>
      <c r="P7" s="72">
        <f>SUM(P8:P16)</f>
        <v>0</v>
      </c>
      <c r="Q7" s="72">
        <f>SUM(Q8:Q16)</f>
        <v>0</v>
      </c>
      <c r="R7" s="72">
        <f>SUM(R8:R16)</f>
        <v>0</v>
      </c>
      <c r="S7" s="72"/>
    </row>
    <row r="8" spans="1:20" s="52" customFormat="1" ht="126">
      <c r="A8" s="61">
        <v>1</v>
      </c>
      <c r="B8" s="43" t="s">
        <v>263</v>
      </c>
      <c r="C8" s="93" t="s">
        <v>264</v>
      </c>
      <c r="D8" s="66" t="s">
        <v>270</v>
      </c>
      <c r="E8" s="56" t="s">
        <v>276</v>
      </c>
      <c r="F8" s="56" t="s">
        <v>275</v>
      </c>
      <c r="G8" s="56" t="s">
        <v>267</v>
      </c>
      <c r="H8" s="55">
        <v>2017</v>
      </c>
      <c r="I8" s="23">
        <v>3768.437</v>
      </c>
      <c r="J8" s="23">
        <f>I8-1768.437</f>
        <v>2000</v>
      </c>
      <c r="K8" s="29">
        <f aca="true" t="shared" si="0" ref="K8:K17">100-(J8/I8*100)</f>
        <v>46.927598895775624</v>
      </c>
      <c r="L8" s="100">
        <v>2000</v>
      </c>
      <c r="M8" s="23"/>
      <c r="N8" s="23"/>
      <c r="O8" s="23"/>
      <c r="P8" s="23"/>
      <c r="Q8" s="23"/>
      <c r="R8" s="23"/>
      <c r="S8" s="74" t="s">
        <v>408</v>
      </c>
      <c r="T8" s="52" t="s">
        <v>271</v>
      </c>
    </row>
    <row r="9" spans="1:20" s="52" customFormat="1" ht="63">
      <c r="A9" s="61">
        <v>2</v>
      </c>
      <c r="B9" s="43" t="s">
        <v>266</v>
      </c>
      <c r="C9" s="93" t="s">
        <v>265</v>
      </c>
      <c r="D9" s="66" t="s">
        <v>270</v>
      </c>
      <c r="E9" s="56" t="s">
        <v>276</v>
      </c>
      <c r="F9" s="56" t="s">
        <v>275</v>
      </c>
      <c r="G9" s="56" t="s">
        <v>268</v>
      </c>
      <c r="H9" s="55">
        <v>2017</v>
      </c>
      <c r="I9" s="23">
        <v>3579.889</v>
      </c>
      <c r="J9" s="23">
        <f>I9-2579.889</f>
        <v>1000</v>
      </c>
      <c r="K9" s="29">
        <f t="shared" si="0"/>
        <v>72.0661730014534</v>
      </c>
      <c r="L9" s="100">
        <v>1000</v>
      </c>
      <c r="M9" s="23"/>
      <c r="N9" s="23"/>
      <c r="O9" s="23"/>
      <c r="P9" s="23"/>
      <c r="Q9" s="23"/>
      <c r="R9" s="23"/>
      <c r="S9" s="74" t="s">
        <v>409</v>
      </c>
      <c r="T9" s="52" t="s">
        <v>271</v>
      </c>
    </row>
    <row r="10" spans="1:20" s="110" customFormat="1" ht="110.25">
      <c r="A10" s="101">
        <v>3</v>
      </c>
      <c r="B10" s="102" t="s">
        <v>263</v>
      </c>
      <c r="C10" s="103" t="s">
        <v>246</v>
      </c>
      <c r="D10" s="111" t="s">
        <v>270</v>
      </c>
      <c r="E10" s="104" t="s">
        <v>277</v>
      </c>
      <c r="F10" s="104" t="s">
        <v>279</v>
      </c>
      <c r="G10" s="104" t="s">
        <v>278</v>
      </c>
      <c r="H10" s="105">
        <v>2016</v>
      </c>
      <c r="I10" s="106">
        <f>27620.08+9999.92</f>
        <v>37620</v>
      </c>
      <c r="J10" s="106">
        <f>I10-2093.695-2249.698-6262.242</f>
        <v>27014.365000000005</v>
      </c>
      <c r="K10" s="107">
        <f t="shared" si="0"/>
        <v>28.191480595427947</v>
      </c>
      <c r="L10" s="106">
        <v>13500</v>
      </c>
      <c r="M10" s="106"/>
      <c r="N10" s="106"/>
      <c r="O10" s="106">
        <f>J10-L10</f>
        <v>13514.365000000005</v>
      </c>
      <c r="P10" s="106"/>
      <c r="Q10" s="106"/>
      <c r="R10" s="106"/>
      <c r="S10" s="109" t="s">
        <v>470</v>
      </c>
      <c r="T10" s="110" t="s">
        <v>384</v>
      </c>
    </row>
    <row r="11" spans="1:19" s="52" customFormat="1" ht="94.5">
      <c r="A11" s="61">
        <v>4</v>
      </c>
      <c r="B11" s="43" t="s">
        <v>400</v>
      </c>
      <c r="C11" s="25" t="s">
        <v>233</v>
      </c>
      <c r="D11" s="64" t="s">
        <v>270</v>
      </c>
      <c r="E11" s="64" t="s">
        <v>339</v>
      </c>
      <c r="F11" s="64" t="s">
        <v>340</v>
      </c>
      <c r="G11" s="64"/>
      <c r="H11" s="55">
        <v>2017</v>
      </c>
      <c r="I11" s="23">
        <v>11144.39</v>
      </c>
      <c r="J11" s="23">
        <f>I11-207.8-139.719-2360.281</f>
        <v>8436.59</v>
      </c>
      <c r="K11" s="29">
        <f t="shared" si="0"/>
        <v>24.297426777060025</v>
      </c>
      <c r="L11" s="23">
        <v>8436.59</v>
      </c>
      <c r="M11" s="23"/>
      <c r="N11" s="23"/>
      <c r="O11" s="23"/>
      <c r="P11" s="23"/>
      <c r="Q11" s="23"/>
      <c r="R11" s="23"/>
      <c r="S11" s="25" t="s">
        <v>406</v>
      </c>
    </row>
    <row r="12" spans="1:19" s="52" customFormat="1" ht="94.5">
      <c r="A12" s="61">
        <v>5</v>
      </c>
      <c r="B12" s="43" t="s">
        <v>283</v>
      </c>
      <c r="C12" s="67" t="s">
        <v>385</v>
      </c>
      <c r="D12" s="66" t="s">
        <v>270</v>
      </c>
      <c r="E12" s="56" t="s">
        <v>276</v>
      </c>
      <c r="F12" s="56" t="s">
        <v>275</v>
      </c>
      <c r="G12" s="56"/>
      <c r="H12" s="55"/>
      <c r="I12" s="23">
        <v>5050</v>
      </c>
      <c r="J12" s="23">
        <f>I12-550</f>
        <v>4500</v>
      </c>
      <c r="K12" s="29">
        <f t="shared" si="0"/>
        <v>10.89108910891089</v>
      </c>
      <c r="L12" s="100">
        <v>2000</v>
      </c>
      <c r="M12" s="23"/>
      <c r="N12" s="23"/>
      <c r="O12" s="23"/>
      <c r="P12" s="23"/>
      <c r="Q12" s="23"/>
      <c r="R12" s="23"/>
      <c r="S12" s="74" t="s">
        <v>441</v>
      </c>
    </row>
    <row r="13" spans="1:19" s="52" customFormat="1" ht="78.75">
      <c r="A13" s="61">
        <v>6</v>
      </c>
      <c r="B13" s="43" t="s">
        <v>388</v>
      </c>
      <c r="C13" s="67" t="s">
        <v>386</v>
      </c>
      <c r="D13" s="66" t="s">
        <v>270</v>
      </c>
      <c r="E13" s="56" t="s">
        <v>387</v>
      </c>
      <c r="F13" s="56" t="s">
        <v>275</v>
      </c>
      <c r="G13" s="56"/>
      <c r="H13" s="55"/>
      <c r="I13" s="23">
        <v>3505.392</v>
      </c>
      <c r="J13" s="99">
        <f>I13-83.924</f>
        <v>3421.468</v>
      </c>
      <c r="K13" s="29">
        <f t="shared" si="0"/>
        <v>2.394140227398239</v>
      </c>
      <c r="L13" s="23">
        <v>350</v>
      </c>
      <c r="M13" s="23"/>
      <c r="N13" s="23"/>
      <c r="O13" s="23"/>
      <c r="P13" s="23"/>
      <c r="Q13" s="23"/>
      <c r="R13" s="23"/>
      <c r="S13" s="74" t="s">
        <v>461</v>
      </c>
    </row>
    <row r="14" spans="1:19" s="52" customFormat="1" ht="173.25">
      <c r="A14" s="61">
        <v>7</v>
      </c>
      <c r="B14" s="43" t="s">
        <v>263</v>
      </c>
      <c r="C14" s="25" t="s">
        <v>21</v>
      </c>
      <c r="D14" s="64" t="s">
        <v>270</v>
      </c>
      <c r="E14" s="64" t="s">
        <v>302</v>
      </c>
      <c r="F14" s="56" t="s">
        <v>303</v>
      </c>
      <c r="G14" s="64" t="s">
        <v>304</v>
      </c>
      <c r="H14" s="55">
        <v>2016</v>
      </c>
      <c r="I14" s="23">
        <f>7706.785+4593.215</f>
        <v>12300</v>
      </c>
      <c r="J14" s="23">
        <f>I14-95.619-4404.381-628.494</f>
        <v>7171.505999999999</v>
      </c>
      <c r="K14" s="29">
        <f t="shared" si="0"/>
        <v>41.69507317073171</v>
      </c>
      <c r="L14" s="100">
        <v>7171.506</v>
      </c>
      <c r="M14" s="23"/>
      <c r="N14" s="23"/>
      <c r="O14" s="23"/>
      <c r="P14" s="23"/>
      <c r="Q14" s="23"/>
      <c r="R14" s="23"/>
      <c r="S14" s="25" t="s">
        <v>419</v>
      </c>
    </row>
    <row r="15" spans="1:19" s="52" customFormat="1" ht="78.75">
      <c r="A15" s="61">
        <v>8</v>
      </c>
      <c r="B15" s="3" t="s">
        <v>376</v>
      </c>
      <c r="C15" s="25" t="s">
        <v>337</v>
      </c>
      <c r="D15" s="64" t="s">
        <v>270</v>
      </c>
      <c r="E15" s="64" t="s">
        <v>440</v>
      </c>
      <c r="F15" s="64" t="s">
        <v>437</v>
      </c>
      <c r="G15" s="64"/>
      <c r="H15" s="55">
        <v>2017</v>
      </c>
      <c r="I15" s="7">
        <v>6356.36</v>
      </c>
      <c r="J15" s="7">
        <f>I15-238.796-3200</f>
        <v>2917.5639999999994</v>
      </c>
      <c r="K15" s="9">
        <f t="shared" si="0"/>
        <v>54.10008243711811</v>
      </c>
      <c r="L15" s="23">
        <v>2917.564</v>
      </c>
      <c r="M15" s="23"/>
      <c r="N15" s="23"/>
      <c r="O15" s="23"/>
      <c r="P15" s="23"/>
      <c r="Q15" s="23"/>
      <c r="R15" s="23"/>
      <c r="S15" s="25" t="s">
        <v>431</v>
      </c>
    </row>
    <row r="16" spans="1:19" s="52" customFormat="1" ht="173.25">
      <c r="A16" s="61">
        <v>9</v>
      </c>
      <c r="B16" s="43" t="s">
        <v>266</v>
      </c>
      <c r="C16" s="67" t="s">
        <v>286</v>
      </c>
      <c r="D16" s="66" t="s">
        <v>270</v>
      </c>
      <c r="E16" s="56"/>
      <c r="F16" s="56"/>
      <c r="G16" s="56"/>
      <c r="H16" s="55"/>
      <c r="I16" s="23">
        <v>8811.245</v>
      </c>
      <c r="J16" s="99">
        <v>8749.895</v>
      </c>
      <c r="K16" s="29">
        <f t="shared" si="0"/>
        <v>0.6962693694250959</v>
      </c>
      <c r="L16" s="23">
        <v>1200</v>
      </c>
      <c r="M16" s="23">
        <v>150</v>
      </c>
      <c r="N16" s="23"/>
      <c r="O16" s="23"/>
      <c r="P16" s="23"/>
      <c r="Q16" s="23"/>
      <c r="R16" s="23"/>
      <c r="S16" s="84" t="s">
        <v>462</v>
      </c>
    </row>
    <row r="17" spans="1:19" s="110" customFormat="1" ht="63">
      <c r="A17" s="101">
        <v>17</v>
      </c>
      <c r="B17" s="102" t="s">
        <v>283</v>
      </c>
      <c r="C17" s="112" t="s">
        <v>289</v>
      </c>
      <c r="D17" s="111" t="s">
        <v>270</v>
      </c>
      <c r="E17" s="104"/>
      <c r="F17" s="104"/>
      <c r="G17" s="104"/>
      <c r="H17" s="105"/>
      <c r="I17" s="106">
        <f>L17</f>
        <v>5750</v>
      </c>
      <c r="J17" s="106">
        <f>I17</f>
        <v>5750</v>
      </c>
      <c r="K17" s="107">
        <f t="shared" si="0"/>
        <v>0</v>
      </c>
      <c r="L17" s="106">
        <v>5750</v>
      </c>
      <c r="M17" s="106">
        <v>300</v>
      </c>
      <c r="N17" s="106"/>
      <c r="O17" s="106"/>
      <c r="P17" s="106"/>
      <c r="Q17" s="106"/>
      <c r="R17" s="106"/>
      <c r="S17" s="113" t="s">
        <v>421</v>
      </c>
    </row>
    <row r="18" spans="1:19" s="73" customFormat="1" ht="31.5">
      <c r="A18" s="70"/>
      <c r="B18" s="70"/>
      <c r="C18" s="71" t="s">
        <v>391</v>
      </c>
      <c r="D18" s="71"/>
      <c r="E18" s="71"/>
      <c r="F18" s="71"/>
      <c r="G18" s="71"/>
      <c r="H18" s="71"/>
      <c r="I18" s="72">
        <f>SUM(I19:I22)</f>
        <v>31595.797</v>
      </c>
      <c r="J18" s="72">
        <f>SUM(J19:J22)</f>
        <v>31209.444</v>
      </c>
      <c r="K18" s="72" t="s">
        <v>30</v>
      </c>
      <c r="L18" s="72">
        <f aca="true" t="shared" si="1" ref="L18:R18">SUM(L19:L22)</f>
        <v>27709.444</v>
      </c>
      <c r="M18" s="72">
        <f t="shared" si="1"/>
        <v>500</v>
      </c>
      <c r="N18" s="72">
        <f t="shared" si="1"/>
        <v>0</v>
      </c>
      <c r="O18" s="72">
        <f t="shared" si="1"/>
        <v>0</v>
      </c>
      <c r="P18" s="72">
        <f t="shared" si="1"/>
        <v>0</v>
      </c>
      <c r="Q18" s="72">
        <f t="shared" si="1"/>
        <v>0</v>
      </c>
      <c r="R18" s="72">
        <f t="shared" si="1"/>
        <v>0</v>
      </c>
      <c r="S18" s="72"/>
    </row>
    <row r="19" spans="1:19" s="52" customFormat="1" ht="94.5">
      <c r="A19" s="61">
        <v>3</v>
      </c>
      <c r="B19" s="43" t="s">
        <v>334</v>
      </c>
      <c r="C19" s="25" t="s">
        <v>335</v>
      </c>
      <c r="D19" s="64" t="s">
        <v>270</v>
      </c>
      <c r="E19" s="64" t="s">
        <v>336</v>
      </c>
      <c r="F19" s="64"/>
      <c r="G19" s="64"/>
      <c r="H19" s="55">
        <v>2018</v>
      </c>
      <c r="I19" s="23">
        <v>7785.333</v>
      </c>
      <c r="J19" s="23">
        <f>I19-47.473-237.86</f>
        <v>7500</v>
      </c>
      <c r="K19" s="29">
        <f>100-(J19/I19*100)</f>
        <v>3.6650070074073824</v>
      </c>
      <c r="L19" s="100">
        <v>4000</v>
      </c>
      <c r="M19" s="23"/>
      <c r="N19" s="23"/>
      <c r="O19" s="23"/>
      <c r="P19" s="23"/>
      <c r="Q19" s="23"/>
      <c r="R19" s="23"/>
      <c r="S19" s="25" t="s">
        <v>398</v>
      </c>
    </row>
    <row r="20" spans="1:19" s="52" customFormat="1" ht="94.5">
      <c r="A20" s="61">
        <v>4</v>
      </c>
      <c r="B20" s="43" t="s">
        <v>338</v>
      </c>
      <c r="C20" s="63" t="s">
        <v>366</v>
      </c>
      <c r="D20" s="56" t="s">
        <v>270</v>
      </c>
      <c r="E20" s="68" t="s">
        <v>367</v>
      </c>
      <c r="F20" s="56" t="s">
        <v>368</v>
      </c>
      <c r="G20" s="56"/>
      <c r="H20" s="55"/>
      <c r="I20" s="23">
        <v>1984.14</v>
      </c>
      <c r="J20" s="23">
        <f>I20-85</f>
        <v>1899.14</v>
      </c>
      <c r="K20" s="29">
        <f>100-(J20/I20*100)</f>
        <v>4.283971897144355</v>
      </c>
      <c r="L20" s="23">
        <v>1899.14</v>
      </c>
      <c r="M20" s="23"/>
      <c r="N20" s="23"/>
      <c r="O20" s="23"/>
      <c r="P20" s="23"/>
      <c r="Q20" s="23"/>
      <c r="R20" s="23"/>
      <c r="S20" s="25" t="s">
        <v>369</v>
      </c>
    </row>
    <row r="21" spans="1:19" s="110" customFormat="1" ht="78.75">
      <c r="A21" s="101">
        <v>6</v>
      </c>
      <c r="B21" s="102" t="s">
        <v>305</v>
      </c>
      <c r="C21" s="103" t="s">
        <v>473</v>
      </c>
      <c r="D21" s="104" t="s">
        <v>270</v>
      </c>
      <c r="E21" s="104" t="s">
        <v>363</v>
      </c>
      <c r="F21" s="104"/>
      <c r="G21" s="104"/>
      <c r="H21" s="105"/>
      <c r="I21" s="106">
        <f>L21</f>
        <v>20000</v>
      </c>
      <c r="J21" s="106">
        <f>I21</f>
        <v>20000</v>
      </c>
      <c r="K21" s="107">
        <f>100-(J21/I21*100)</f>
        <v>0</v>
      </c>
      <c r="L21" s="106">
        <v>20000</v>
      </c>
      <c r="M21" s="108">
        <v>500</v>
      </c>
      <c r="N21" s="106"/>
      <c r="O21" s="106"/>
      <c r="P21" s="106"/>
      <c r="Q21" s="106"/>
      <c r="R21" s="106"/>
      <c r="S21" s="109" t="s">
        <v>474</v>
      </c>
    </row>
    <row r="22" spans="1:19" s="52" customFormat="1" ht="78.75">
      <c r="A22" s="61">
        <v>12</v>
      </c>
      <c r="B22" s="43" t="s">
        <v>372</v>
      </c>
      <c r="C22" s="25" t="s">
        <v>471</v>
      </c>
      <c r="D22" s="64" t="s">
        <v>270</v>
      </c>
      <c r="E22" s="64" t="s">
        <v>468</v>
      </c>
      <c r="F22" s="64"/>
      <c r="G22" s="64"/>
      <c r="H22" s="55"/>
      <c r="I22" s="23">
        <v>1826.324</v>
      </c>
      <c r="J22" s="23">
        <f>I22-16.02</f>
        <v>1810.304</v>
      </c>
      <c r="K22" s="29">
        <f>100-(J22/I22*100)</f>
        <v>0.8771718490257001</v>
      </c>
      <c r="L22" s="23">
        <v>1810.304</v>
      </c>
      <c r="M22" s="23"/>
      <c r="N22" s="23"/>
      <c r="O22" s="23"/>
      <c r="P22" s="23"/>
      <c r="Q22" s="23"/>
      <c r="R22" s="23"/>
      <c r="S22" s="25" t="s">
        <v>472</v>
      </c>
    </row>
    <row r="23" spans="1:19" s="73" customFormat="1" ht="31.5">
      <c r="A23" s="70"/>
      <c r="B23" s="70"/>
      <c r="C23" s="71" t="s">
        <v>393</v>
      </c>
      <c r="D23" s="71"/>
      <c r="E23" s="71"/>
      <c r="F23" s="71"/>
      <c r="G23" s="71"/>
      <c r="H23" s="71"/>
      <c r="I23" s="72">
        <f>SUM(I24:I25)</f>
        <v>6000</v>
      </c>
      <c r="J23" s="72">
        <f>SUM(J24:J25)</f>
        <v>6000</v>
      </c>
      <c r="K23" s="72" t="s">
        <v>30</v>
      </c>
      <c r="L23" s="72">
        <f>SUM(L24:L25)</f>
        <v>4700</v>
      </c>
      <c r="M23" s="72">
        <f>SUM(M24:M25)</f>
        <v>600</v>
      </c>
      <c r="N23" s="72">
        <f>SUM(N26:N35)</f>
        <v>0</v>
      </c>
      <c r="O23" s="72">
        <f>SUM(O26:O35)</f>
        <v>0</v>
      </c>
      <c r="P23" s="72">
        <f>SUM(P26:P35)</f>
        <v>0</v>
      </c>
      <c r="Q23" s="72">
        <f>SUM(Q26:Q35)</f>
        <v>0</v>
      </c>
      <c r="R23" s="72">
        <f>SUM(R26:R35)</f>
        <v>0</v>
      </c>
      <c r="S23" s="72"/>
    </row>
    <row r="24" spans="1:19" s="110" customFormat="1" ht="63">
      <c r="A24" s="101">
        <v>1</v>
      </c>
      <c r="B24" s="102" t="s">
        <v>342</v>
      </c>
      <c r="C24" s="114" t="s">
        <v>99</v>
      </c>
      <c r="D24" s="107" t="s">
        <v>270</v>
      </c>
      <c r="E24" s="107"/>
      <c r="F24" s="107"/>
      <c r="G24" s="107"/>
      <c r="H24" s="105"/>
      <c r="I24" s="115">
        <f>L24+O24</f>
        <v>3500</v>
      </c>
      <c r="J24" s="115">
        <f>I24</f>
        <v>3500</v>
      </c>
      <c r="K24" s="107">
        <f>100-(J24/I24*100)</f>
        <v>0</v>
      </c>
      <c r="L24" s="106">
        <v>2200</v>
      </c>
      <c r="M24" s="106">
        <v>400</v>
      </c>
      <c r="N24" s="106"/>
      <c r="O24" s="106">
        <v>1300</v>
      </c>
      <c r="P24" s="106"/>
      <c r="Q24" s="106"/>
      <c r="R24" s="106"/>
      <c r="S24" s="109" t="s">
        <v>466</v>
      </c>
    </row>
    <row r="25" spans="1:19" s="110" customFormat="1" ht="63">
      <c r="A25" s="101">
        <v>2</v>
      </c>
      <c r="B25" s="102" t="s">
        <v>342</v>
      </c>
      <c r="C25" s="109" t="s">
        <v>98</v>
      </c>
      <c r="D25" s="116" t="s">
        <v>270</v>
      </c>
      <c r="E25" s="116"/>
      <c r="F25" s="116"/>
      <c r="G25" s="116"/>
      <c r="H25" s="105"/>
      <c r="I25" s="115">
        <f>L25+O25</f>
        <v>2500</v>
      </c>
      <c r="J25" s="115">
        <f>I25</f>
        <v>2500</v>
      </c>
      <c r="K25" s="107">
        <f>100-(J25/I25*100)</f>
        <v>0</v>
      </c>
      <c r="L25" s="106">
        <v>2500</v>
      </c>
      <c r="M25" s="106">
        <v>200</v>
      </c>
      <c r="N25" s="106"/>
      <c r="O25" s="106"/>
      <c r="P25" s="106"/>
      <c r="Q25" s="106"/>
      <c r="R25" s="106"/>
      <c r="S25" s="109" t="s">
        <v>465</v>
      </c>
    </row>
    <row r="26" spans="1:19" s="73" customFormat="1" ht="31.5">
      <c r="A26" s="70"/>
      <c r="B26" s="70"/>
      <c r="C26" s="71" t="s">
        <v>394</v>
      </c>
      <c r="D26" s="71"/>
      <c r="E26" s="71"/>
      <c r="F26" s="71"/>
      <c r="G26" s="71"/>
      <c r="H26" s="71"/>
      <c r="I26" s="72">
        <f>SUM(I27:I30)</f>
        <v>39252.362</v>
      </c>
      <c r="J26" s="72">
        <f>SUM(J27:J30)</f>
        <v>18017.108089999998</v>
      </c>
      <c r="K26" s="72" t="s">
        <v>30</v>
      </c>
      <c r="L26" s="72">
        <f aca="true" t="shared" si="2" ref="L26:R26">SUM(L27:L30)</f>
        <v>18017.108</v>
      </c>
      <c r="M26" s="72">
        <f t="shared" si="2"/>
        <v>0</v>
      </c>
      <c r="N26" s="72">
        <f t="shared" si="2"/>
        <v>0</v>
      </c>
      <c r="O26" s="72">
        <f t="shared" si="2"/>
        <v>0</v>
      </c>
      <c r="P26" s="72">
        <f t="shared" si="2"/>
        <v>0</v>
      </c>
      <c r="Q26" s="72">
        <f t="shared" si="2"/>
        <v>0</v>
      </c>
      <c r="R26" s="72">
        <f t="shared" si="2"/>
        <v>0</v>
      </c>
      <c r="S26" s="72"/>
    </row>
    <row r="27" spans="1:19" s="52" customFormat="1" ht="94.5">
      <c r="A27" s="61">
        <v>1</v>
      </c>
      <c r="B27" s="43" t="s">
        <v>292</v>
      </c>
      <c r="C27" s="25" t="s">
        <v>310</v>
      </c>
      <c r="D27" s="64" t="s">
        <v>270</v>
      </c>
      <c r="E27" s="64" t="s">
        <v>311</v>
      </c>
      <c r="F27" s="64" t="s">
        <v>315</v>
      </c>
      <c r="G27" s="64" t="s">
        <v>312</v>
      </c>
      <c r="H27" s="55">
        <v>2016</v>
      </c>
      <c r="I27" s="28">
        <f>4485.15+4814.85</f>
        <v>9300</v>
      </c>
      <c r="J27" s="28">
        <f>I27-1990.93498-2494.215</f>
        <v>4814.85002</v>
      </c>
      <c r="K27" s="29">
        <f>100-(J27/I27*100)</f>
        <v>48.22741913978494</v>
      </c>
      <c r="L27" s="23">
        <v>4814.85</v>
      </c>
      <c r="M27" s="23"/>
      <c r="N27" s="23"/>
      <c r="O27" s="23"/>
      <c r="P27" s="23"/>
      <c r="Q27" s="23"/>
      <c r="R27" s="23"/>
      <c r="S27" s="25" t="s">
        <v>435</v>
      </c>
    </row>
    <row r="28" spans="1:19" s="52" customFormat="1" ht="94.5">
      <c r="A28" s="61">
        <v>2</v>
      </c>
      <c r="B28" s="43" t="s">
        <v>322</v>
      </c>
      <c r="C28" s="25" t="s">
        <v>320</v>
      </c>
      <c r="D28" s="64" t="s">
        <v>270</v>
      </c>
      <c r="E28" s="64" t="s">
        <v>321</v>
      </c>
      <c r="F28" s="64" t="s">
        <v>323</v>
      </c>
      <c r="G28" s="64" t="s">
        <v>324</v>
      </c>
      <c r="H28" s="55">
        <v>2015</v>
      </c>
      <c r="I28" s="23">
        <v>25129.262</v>
      </c>
      <c r="J28" s="23">
        <f>I28-107.715-8982.38893-7500</f>
        <v>8539.15807</v>
      </c>
      <c r="K28" s="29">
        <f>100-(J28/I28*100)</f>
        <v>66.01906546240792</v>
      </c>
      <c r="L28" s="23">
        <v>8539.158</v>
      </c>
      <c r="M28" s="23"/>
      <c r="N28" s="23"/>
      <c r="O28" s="23"/>
      <c r="P28" s="23"/>
      <c r="Q28" s="23"/>
      <c r="R28" s="23"/>
      <c r="S28" s="25" t="s">
        <v>325</v>
      </c>
    </row>
    <row r="29" spans="1:19" s="52" customFormat="1" ht="78.75">
      <c r="A29" s="61">
        <v>5</v>
      </c>
      <c r="B29" s="43" t="s">
        <v>351</v>
      </c>
      <c r="C29" s="25" t="s">
        <v>436</v>
      </c>
      <c r="D29" s="56" t="s">
        <v>270</v>
      </c>
      <c r="E29" s="64" t="s">
        <v>349</v>
      </c>
      <c r="F29" s="64"/>
      <c r="G29" s="64"/>
      <c r="H29" s="55"/>
      <c r="I29" s="28">
        <f>L29+85</f>
        <v>3348.1</v>
      </c>
      <c r="J29" s="28">
        <f>I29-85</f>
        <v>3263.1</v>
      </c>
      <c r="K29" s="29">
        <f>100-(J29/I29*100)</f>
        <v>2.5387533227800816</v>
      </c>
      <c r="L29" s="23">
        <v>3263.1</v>
      </c>
      <c r="M29" s="23"/>
      <c r="N29" s="23"/>
      <c r="O29" s="23"/>
      <c r="P29" s="23"/>
      <c r="Q29" s="23"/>
      <c r="R29" s="23"/>
      <c r="S29" s="25" t="s">
        <v>469</v>
      </c>
    </row>
    <row r="30" spans="1:19" s="52" customFormat="1" ht="47.25">
      <c r="A30" s="61">
        <v>6</v>
      </c>
      <c r="B30" s="43" t="s">
        <v>350</v>
      </c>
      <c r="C30" s="25" t="s">
        <v>125</v>
      </c>
      <c r="D30" s="64" t="s">
        <v>270</v>
      </c>
      <c r="E30" s="64" t="s">
        <v>349</v>
      </c>
      <c r="F30" s="64"/>
      <c r="G30" s="64"/>
      <c r="H30" s="55"/>
      <c r="I30" s="28">
        <v>1475</v>
      </c>
      <c r="J30" s="28">
        <f>I30-75</f>
        <v>1400</v>
      </c>
      <c r="K30" s="29">
        <f>100-(J30/I30*100)</f>
        <v>5.0847457627118615</v>
      </c>
      <c r="L30" s="23">
        <v>1400</v>
      </c>
      <c r="M30" s="23"/>
      <c r="N30" s="23"/>
      <c r="O30" s="23"/>
      <c r="P30" s="23"/>
      <c r="Q30" s="23"/>
      <c r="R30" s="23"/>
      <c r="S30" s="25" t="s">
        <v>446</v>
      </c>
    </row>
    <row r="31" spans="1:19" s="73" customFormat="1" ht="31.5">
      <c r="A31" s="70"/>
      <c r="B31" s="70"/>
      <c r="C31" s="71" t="s">
        <v>395</v>
      </c>
      <c r="D31" s="71"/>
      <c r="E31" s="71"/>
      <c r="F31" s="71"/>
      <c r="G31" s="71"/>
      <c r="H31" s="71"/>
      <c r="I31" s="72">
        <f>SUM(I32:I35)</f>
        <v>52755.573000000004</v>
      </c>
      <c r="J31" s="72">
        <f>SUM(J32:J35)</f>
        <v>33921.136000000006</v>
      </c>
      <c r="K31" s="72" t="s">
        <v>30</v>
      </c>
      <c r="L31" s="72">
        <f aca="true" t="shared" si="3" ref="L31:R31">SUM(L32:L35)</f>
        <v>17000</v>
      </c>
      <c r="M31" s="72">
        <f t="shared" si="3"/>
        <v>0</v>
      </c>
      <c r="N31" s="72">
        <f t="shared" si="3"/>
        <v>0</v>
      </c>
      <c r="O31" s="72">
        <f t="shared" si="3"/>
        <v>0</v>
      </c>
      <c r="P31" s="72">
        <f t="shared" si="3"/>
        <v>0</v>
      </c>
      <c r="Q31" s="72">
        <f t="shared" si="3"/>
        <v>0</v>
      </c>
      <c r="R31" s="72">
        <f t="shared" si="3"/>
        <v>0</v>
      </c>
      <c r="S31" s="72"/>
    </row>
    <row r="32" spans="1:19" s="110" customFormat="1" ht="110.25">
      <c r="A32" s="101">
        <v>1</v>
      </c>
      <c r="B32" s="102" t="s">
        <v>27</v>
      </c>
      <c r="C32" s="109" t="s">
        <v>313</v>
      </c>
      <c r="D32" s="116" t="s">
        <v>270</v>
      </c>
      <c r="E32" s="116" t="s">
        <v>314</v>
      </c>
      <c r="F32" s="116" t="s">
        <v>317</v>
      </c>
      <c r="G32" s="116" t="s">
        <v>316</v>
      </c>
      <c r="H32" s="105">
        <v>2018</v>
      </c>
      <c r="I32" s="106">
        <v>14403.659</v>
      </c>
      <c r="J32" s="106">
        <f>I32-400.791</f>
        <v>14002.868</v>
      </c>
      <c r="K32" s="107">
        <f>100-(J32/I32*100)</f>
        <v>2.7825637916032235</v>
      </c>
      <c r="L32" s="108">
        <v>8000</v>
      </c>
      <c r="M32" s="106"/>
      <c r="N32" s="106"/>
      <c r="O32" s="106"/>
      <c r="P32" s="106"/>
      <c r="Q32" s="106"/>
      <c r="R32" s="106"/>
      <c r="S32" s="109" t="s">
        <v>318</v>
      </c>
    </row>
    <row r="33" spans="1:19" s="110" customFormat="1" ht="94.5">
      <c r="A33" s="101">
        <v>2</v>
      </c>
      <c r="B33" s="102" t="s">
        <v>262</v>
      </c>
      <c r="C33" s="109" t="s">
        <v>79</v>
      </c>
      <c r="D33" s="116" t="s">
        <v>270</v>
      </c>
      <c r="E33" s="116" t="s">
        <v>297</v>
      </c>
      <c r="F33" s="104" t="s">
        <v>300</v>
      </c>
      <c r="G33" s="116" t="s">
        <v>301</v>
      </c>
      <c r="H33" s="105">
        <v>2017</v>
      </c>
      <c r="I33" s="106">
        <v>21981.914</v>
      </c>
      <c r="J33" s="106">
        <f>I33-215.963-14932.538</f>
        <v>6833.4130000000005</v>
      </c>
      <c r="K33" s="107">
        <f>100-(J33/I33*100)</f>
        <v>68.91347586929874</v>
      </c>
      <c r="L33" s="108">
        <v>3000</v>
      </c>
      <c r="M33" s="106"/>
      <c r="N33" s="106"/>
      <c r="O33" s="106"/>
      <c r="P33" s="106"/>
      <c r="Q33" s="106"/>
      <c r="R33" s="106"/>
      <c r="S33" s="109" t="s">
        <v>298</v>
      </c>
    </row>
    <row r="34" spans="1:19" s="110" customFormat="1" ht="94.5">
      <c r="A34" s="101">
        <v>3</v>
      </c>
      <c r="B34" s="102" t="s">
        <v>330</v>
      </c>
      <c r="C34" s="109" t="s">
        <v>61</v>
      </c>
      <c r="D34" s="116" t="s">
        <v>270</v>
      </c>
      <c r="E34" s="116" t="s">
        <v>331</v>
      </c>
      <c r="F34" s="116" t="s">
        <v>332</v>
      </c>
      <c r="G34" s="116" t="s">
        <v>333</v>
      </c>
      <c r="H34" s="105">
        <v>2016</v>
      </c>
      <c r="I34" s="106">
        <v>8570</v>
      </c>
      <c r="J34" s="106">
        <f>I34-1520-71.8</f>
        <v>6978.2</v>
      </c>
      <c r="K34" s="107">
        <f>100-(J34/I34*100)</f>
        <v>18.574095682613773</v>
      </c>
      <c r="L34" s="108">
        <v>3000</v>
      </c>
      <c r="M34" s="106"/>
      <c r="N34" s="106"/>
      <c r="O34" s="106"/>
      <c r="P34" s="106"/>
      <c r="Q34" s="106"/>
      <c r="R34" s="106"/>
      <c r="S34" s="109" t="s">
        <v>447</v>
      </c>
    </row>
    <row r="35" spans="1:19" s="110" customFormat="1" ht="110.25">
      <c r="A35" s="101">
        <v>4</v>
      </c>
      <c r="B35" s="102" t="s">
        <v>326</v>
      </c>
      <c r="C35" s="109" t="s">
        <v>63</v>
      </c>
      <c r="D35" s="116" t="s">
        <v>270</v>
      </c>
      <c r="E35" s="116" t="s">
        <v>327</v>
      </c>
      <c r="F35" s="116" t="s">
        <v>328</v>
      </c>
      <c r="G35" s="116" t="s">
        <v>329</v>
      </c>
      <c r="H35" s="105">
        <v>2016</v>
      </c>
      <c r="I35" s="106">
        <f>4771.333+3028.667</f>
        <v>7800</v>
      </c>
      <c r="J35" s="106">
        <f>I35-1660-33.345</f>
        <v>6106.655</v>
      </c>
      <c r="K35" s="107">
        <f>100-(J35/I35*100)</f>
        <v>21.709551282051294</v>
      </c>
      <c r="L35" s="108">
        <v>3000</v>
      </c>
      <c r="M35" s="106"/>
      <c r="N35" s="106"/>
      <c r="O35" s="106"/>
      <c r="P35" s="106"/>
      <c r="Q35" s="106"/>
      <c r="R35" s="106"/>
      <c r="S35" s="109" t="s">
        <v>448</v>
      </c>
    </row>
    <row r="36" spans="1:19" s="92" customFormat="1" ht="63" customHeight="1">
      <c r="A36" s="88"/>
      <c r="B36" s="86"/>
      <c r="C36" s="86" t="s">
        <v>463</v>
      </c>
      <c r="D36" s="86"/>
      <c r="E36" s="86"/>
      <c r="F36" s="86"/>
      <c r="G36" s="86"/>
      <c r="H36" s="89"/>
      <c r="I36" s="90">
        <f>I37</f>
        <v>3500</v>
      </c>
      <c r="J36" s="90">
        <f>J37</f>
        <v>3500</v>
      </c>
      <c r="K36" s="91" t="s">
        <v>30</v>
      </c>
      <c r="L36" s="90">
        <f aca="true" t="shared" si="4" ref="L36:R36">L37</f>
        <v>3500</v>
      </c>
      <c r="M36" s="90">
        <f t="shared" si="4"/>
        <v>400</v>
      </c>
      <c r="N36" s="90">
        <f t="shared" si="4"/>
        <v>0</v>
      </c>
      <c r="O36" s="90">
        <f t="shared" si="4"/>
        <v>0</v>
      </c>
      <c r="P36" s="90">
        <f t="shared" si="4"/>
        <v>0</v>
      </c>
      <c r="Q36" s="90">
        <f t="shared" si="4"/>
        <v>0</v>
      </c>
      <c r="R36" s="90">
        <f t="shared" si="4"/>
        <v>0</v>
      </c>
      <c r="S36" s="87"/>
    </row>
    <row r="37" spans="1:19" s="110" customFormat="1" ht="220.5">
      <c r="A37" s="101">
        <v>1</v>
      </c>
      <c r="B37" s="102" t="s">
        <v>292</v>
      </c>
      <c r="C37" s="109" t="s">
        <v>309</v>
      </c>
      <c r="D37" s="116" t="s">
        <v>270</v>
      </c>
      <c r="E37" s="116"/>
      <c r="F37" s="116"/>
      <c r="G37" s="116"/>
      <c r="H37" s="105"/>
      <c r="I37" s="115">
        <v>3500</v>
      </c>
      <c r="J37" s="115">
        <f>I37</f>
        <v>3500</v>
      </c>
      <c r="K37" s="107">
        <f>100-(J37/I37*100)</f>
        <v>0</v>
      </c>
      <c r="L37" s="106">
        <v>3500</v>
      </c>
      <c r="M37" s="106">
        <v>400</v>
      </c>
      <c r="N37" s="106"/>
      <c r="O37" s="106">
        <f>J37-L37</f>
        <v>0</v>
      </c>
      <c r="P37" s="106"/>
      <c r="Q37" s="106"/>
      <c r="R37" s="106"/>
      <c r="S37" s="109" t="s">
        <v>464</v>
      </c>
    </row>
    <row r="38" spans="1:19" s="52" customFormat="1" ht="15.75">
      <c r="A38" s="77"/>
      <c r="B38" s="78"/>
      <c r="C38" s="79"/>
      <c r="D38" s="80"/>
      <c r="E38" s="80"/>
      <c r="F38" s="80"/>
      <c r="G38" s="80"/>
      <c r="H38" s="81"/>
      <c r="I38" s="94"/>
      <c r="J38" s="94"/>
      <c r="K38" s="82"/>
      <c r="L38" s="83"/>
      <c r="M38" s="83"/>
      <c r="N38" s="83"/>
      <c r="O38" s="83"/>
      <c r="P38" s="83"/>
      <c r="Q38" s="83"/>
      <c r="R38" s="83"/>
      <c r="S38" s="79"/>
    </row>
    <row r="39" spans="2:19" ht="40.5" customHeight="1">
      <c r="B39" s="149" t="s">
        <v>381</v>
      </c>
      <c r="C39" s="149"/>
      <c r="D39" s="149"/>
      <c r="E39" s="149"/>
      <c r="F39" s="149"/>
      <c r="G39" s="149"/>
      <c r="H39" s="149"/>
      <c r="I39" s="149"/>
      <c r="J39" s="149"/>
      <c r="S39" s="18" t="s">
        <v>382</v>
      </c>
    </row>
    <row r="40" ht="15.75">
      <c r="S40" s="18"/>
    </row>
    <row r="41" spans="1:8" ht="15.75">
      <c r="A41" s="18"/>
      <c r="C41" s="19"/>
      <c r="D41" s="57"/>
      <c r="E41" s="57"/>
      <c r="F41" s="57"/>
      <c r="G41" s="57"/>
      <c r="H41" s="57"/>
    </row>
  </sheetData>
  <sheetProtection/>
  <mergeCells count="17">
    <mergeCell ref="S3:S4"/>
    <mergeCell ref="A1:S1"/>
    <mergeCell ref="A3:A4"/>
    <mergeCell ref="B3:B4"/>
    <mergeCell ref="C3:C4"/>
    <mergeCell ref="D3:D4"/>
    <mergeCell ref="E3:E4"/>
    <mergeCell ref="F3:F4"/>
    <mergeCell ref="G3:G4"/>
    <mergeCell ref="H3:H4"/>
    <mergeCell ref="B39:J39"/>
    <mergeCell ref="J3:J4"/>
    <mergeCell ref="K3:K4"/>
    <mergeCell ref="L3:M3"/>
    <mergeCell ref="O3:P3"/>
    <mergeCell ref="Q3:R3"/>
    <mergeCell ref="I3:I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39" max="18" man="1"/>
    <brk id="40" max="9" man="1"/>
  </rowBreaks>
</worksheet>
</file>

<file path=xl/worksheets/sheet13.xml><?xml version="1.0" encoding="utf-8"?>
<worksheet xmlns="http://schemas.openxmlformats.org/spreadsheetml/2006/main" xmlns:r="http://schemas.openxmlformats.org/officeDocument/2006/relationships">
  <sheetPr>
    <tabColor rgb="FFFF0000"/>
    <pageSetUpPr fitToPage="1"/>
  </sheetPr>
  <dimension ref="A1:O19"/>
  <sheetViews>
    <sheetView tabSelected="1" view="pageBreakPreview" zoomScale="75" zoomScaleNormal="75" zoomScaleSheetLayoutView="75" workbookViewId="0" topLeftCell="A1">
      <selection activeCell="D2" sqref="D2"/>
    </sheetView>
  </sheetViews>
  <sheetFormatPr defaultColWidth="9.00390625" defaultRowHeight="12.75"/>
  <cols>
    <col min="1" max="1" width="16.125" style="4" customWidth="1"/>
    <col min="2" max="2" width="14.375" style="17" customWidth="1"/>
    <col min="3" max="3" width="14.75390625" style="8" customWidth="1"/>
    <col min="4" max="4" width="47.125" style="59" customWidth="1"/>
    <col min="5" max="5" width="1.875" style="59" hidden="1" customWidth="1"/>
    <col min="6" max="6" width="61.25390625" style="17" customWidth="1"/>
    <col min="7" max="7" width="14.375" style="17" customWidth="1"/>
    <col min="8" max="8" width="23.25390625" style="17" customWidth="1"/>
    <col min="9" max="11" width="22.875" style="17" customWidth="1"/>
    <col min="12" max="12" width="15.125" style="4" bestFit="1" customWidth="1"/>
    <col min="13" max="13" width="20.125" style="4" customWidth="1"/>
    <col min="14" max="16384" width="9.125" style="4" customWidth="1"/>
  </cols>
  <sheetData>
    <row r="1" spans="9:10" ht="18.75">
      <c r="I1" s="161" t="s">
        <v>512</v>
      </c>
      <c r="J1" s="161"/>
    </row>
    <row r="2" spans="9:10" ht="18.75">
      <c r="I2" s="162" t="s">
        <v>513</v>
      </c>
      <c r="J2" s="162"/>
    </row>
    <row r="3" spans="8:10" ht="18.75">
      <c r="H3" s="17" t="s">
        <v>515</v>
      </c>
      <c r="I3" s="161" t="s">
        <v>512</v>
      </c>
      <c r="J3" s="161"/>
    </row>
    <row r="4" spans="8:10" ht="18.75">
      <c r="H4" s="17" t="s">
        <v>519</v>
      </c>
      <c r="I4" s="141"/>
      <c r="J4" s="141"/>
    </row>
    <row r="5" spans="8:10" ht="18.75">
      <c r="H5" s="17" t="s">
        <v>522</v>
      </c>
      <c r="I5" s="141"/>
      <c r="J5" s="141"/>
    </row>
    <row r="6" spans="2:11" s="128" customFormat="1" ht="18.75">
      <c r="B6" s="129"/>
      <c r="C6" s="130"/>
      <c r="D6" s="131"/>
      <c r="E6" s="131"/>
      <c r="F6" s="129"/>
      <c r="G6" s="129"/>
      <c r="H6" s="129"/>
      <c r="I6" s="163" t="s">
        <v>514</v>
      </c>
      <c r="J6" s="163"/>
      <c r="K6" s="129"/>
    </row>
    <row r="7" spans="1:11" ht="27.75" customHeight="1">
      <c r="A7" s="157" t="s">
        <v>523</v>
      </c>
      <c r="B7" s="157"/>
      <c r="C7" s="157"/>
      <c r="D7" s="157"/>
      <c r="E7" s="157"/>
      <c r="F7" s="157"/>
      <c r="G7" s="157"/>
      <c r="H7" s="157"/>
      <c r="I7" s="157"/>
      <c r="J7" s="157"/>
      <c r="K7" s="157"/>
    </row>
    <row r="8" spans="1:11" ht="21" customHeight="1">
      <c r="A8" s="158">
        <v>1450200000</v>
      </c>
      <c r="B8" s="158"/>
      <c r="C8" s="133"/>
      <c r="D8" s="133"/>
      <c r="E8" s="133"/>
      <c r="F8" s="133"/>
      <c r="G8" s="133"/>
      <c r="H8" s="133"/>
      <c r="I8" s="133"/>
      <c r="J8" s="133"/>
      <c r="K8" s="133"/>
    </row>
    <row r="9" spans="1:11" ht="18" customHeight="1">
      <c r="A9" s="159" t="s">
        <v>502</v>
      </c>
      <c r="B9" s="159"/>
      <c r="C9" s="133"/>
      <c r="D9" s="133"/>
      <c r="E9" s="133"/>
      <c r="F9" s="133"/>
      <c r="G9" s="133"/>
      <c r="H9" s="133"/>
      <c r="I9" s="133"/>
      <c r="J9" s="133"/>
      <c r="K9" s="133"/>
    </row>
    <row r="10" spans="1:11" s="132" customFormat="1" ht="144" customHeight="1">
      <c r="A10" s="45" t="s">
        <v>503</v>
      </c>
      <c r="B10" s="45" t="s">
        <v>501</v>
      </c>
      <c r="C10" s="136" t="s">
        <v>507</v>
      </c>
      <c r="D10" s="45" t="s">
        <v>504</v>
      </c>
      <c r="E10" s="138"/>
      <c r="F10" s="137" t="s">
        <v>508</v>
      </c>
      <c r="G10" s="45" t="s">
        <v>509</v>
      </c>
      <c r="H10" s="45" t="s">
        <v>510</v>
      </c>
      <c r="I10" s="45" t="s">
        <v>511</v>
      </c>
      <c r="J10" s="45" t="s">
        <v>520</v>
      </c>
      <c r="K10" s="45" t="s">
        <v>521</v>
      </c>
    </row>
    <row r="11" spans="1:11" ht="15" customHeight="1">
      <c r="A11" s="3">
        <v>1</v>
      </c>
      <c r="B11" s="3">
        <v>2</v>
      </c>
      <c r="C11" s="147">
        <v>3</v>
      </c>
      <c r="D11" s="3">
        <v>4</v>
      </c>
      <c r="E11" s="134"/>
      <c r="F11" s="134">
        <v>5</v>
      </c>
      <c r="G11" s="3">
        <v>6</v>
      </c>
      <c r="H11" s="3">
        <v>7</v>
      </c>
      <c r="I11" s="3">
        <v>8</v>
      </c>
      <c r="J11" s="3">
        <v>9</v>
      </c>
      <c r="K11" s="3">
        <v>10</v>
      </c>
    </row>
    <row r="12" spans="1:11" s="52" customFormat="1" ht="12" customHeight="1">
      <c r="A12" s="77"/>
      <c r="B12" s="156"/>
      <c r="C12" s="156"/>
      <c r="D12" s="156"/>
      <c r="E12" s="80"/>
      <c r="F12" s="80"/>
      <c r="G12" s="80"/>
      <c r="H12" s="80"/>
      <c r="I12" s="80"/>
      <c r="J12" s="80"/>
      <c r="K12" s="80"/>
    </row>
    <row r="13" spans="1:11" s="52" customFormat="1" ht="12" customHeight="1">
      <c r="A13" s="77"/>
      <c r="B13" s="146"/>
      <c r="C13" s="146"/>
      <c r="D13" s="146"/>
      <c r="E13" s="80"/>
      <c r="F13" s="80"/>
      <c r="G13" s="80"/>
      <c r="H13" s="80"/>
      <c r="I13" s="80"/>
      <c r="J13" s="80"/>
      <c r="K13" s="80"/>
    </row>
    <row r="14" spans="1:11" s="52" customFormat="1" ht="12" customHeight="1">
      <c r="A14" s="77"/>
      <c r="B14" s="146"/>
      <c r="C14" s="146"/>
      <c r="D14" s="146"/>
      <c r="E14" s="80"/>
      <c r="F14" s="80"/>
      <c r="G14" s="80"/>
      <c r="H14" s="80"/>
      <c r="I14" s="80"/>
      <c r="J14" s="80"/>
      <c r="K14" s="80"/>
    </row>
    <row r="15" spans="1:15" ht="36" customHeight="1">
      <c r="A15" s="160" t="s">
        <v>505</v>
      </c>
      <c r="B15" s="160"/>
      <c r="C15" s="160"/>
      <c r="D15" s="160"/>
      <c r="H15" s="139" t="s">
        <v>506</v>
      </c>
      <c r="I15" s="135"/>
      <c r="J15" s="135"/>
      <c r="K15" s="135"/>
      <c r="L15" s="142" t="s">
        <v>516</v>
      </c>
      <c r="M15" s="143">
        <v>7330</v>
      </c>
      <c r="N15" s="144" t="s">
        <v>517</v>
      </c>
      <c r="O15" s="145" t="s">
        <v>518</v>
      </c>
    </row>
    <row r="16" spans="8:11" ht="15" customHeight="1">
      <c r="H16" s="135"/>
      <c r="I16" s="135"/>
      <c r="J16" s="135"/>
      <c r="K16" s="135"/>
    </row>
    <row r="17" ht="15">
      <c r="K17" s="140"/>
    </row>
    <row r="18" ht="15">
      <c r="K18" s="140"/>
    </row>
    <row r="19" ht="15">
      <c r="K19" s="140" t="e">
        <f>#REF!+#REF!</f>
        <v>#REF!</v>
      </c>
    </row>
  </sheetData>
  <sheetProtection/>
  <mergeCells count="9">
    <mergeCell ref="B12:D12"/>
    <mergeCell ref="A7:K7"/>
    <mergeCell ref="A8:B8"/>
    <mergeCell ref="A9:B9"/>
    <mergeCell ref="A15:D15"/>
    <mergeCell ref="I1:J1"/>
    <mergeCell ref="I2:J2"/>
    <mergeCell ref="I6:J6"/>
    <mergeCell ref="I3:J3"/>
  </mergeCells>
  <printOptions/>
  <pageMargins left="0.4724409448818898" right="0.1968503937007874" top="0.7086614173228347" bottom="0.2362204724409449" header="0.35433070866141736" footer="0.15748031496062992"/>
  <pageSetup fitToHeight="1" fitToWidth="1" horizontalDpi="600" verticalDpi="600" orientation="landscape" paperSize="9" scale="55" r:id="rId1"/>
  <headerFooter differentFirst="1" alignWithMargins="0">
    <oddHeader>&amp;RПродовження додатка 6
до рішення міської ради</oddHeader>
    <oddFooter>&amp;C&amp;P</oddFooter>
  </headerFooter>
</worksheet>
</file>

<file path=xl/worksheets/sheet14.xml><?xml version="1.0" encoding="utf-8"?>
<worksheet xmlns="http://schemas.openxmlformats.org/spreadsheetml/2006/main" xmlns:r="http://schemas.openxmlformats.org/officeDocument/2006/relationships">
  <sheetPr>
    <tabColor rgb="FF7030A0"/>
  </sheetPr>
  <dimension ref="A1:S27"/>
  <sheetViews>
    <sheetView zoomScaleSheetLayoutView="55" zoomScalePageLayoutView="0" workbookViewId="0" topLeftCell="E1">
      <selection activeCell="J3" sqref="J3"/>
    </sheetView>
  </sheetViews>
  <sheetFormatPr defaultColWidth="9.00390625" defaultRowHeight="12.75"/>
  <cols>
    <col min="1" max="1" width="12.875" style="4" customWidth="1"/>
    <col min="2" max="2" width="12.875" style="17" bestFit="1" customWidth="1"/>
    <col min="3" max="3" width="15.875" style="8" customWidth="1"/>
    <col min="4" max="4" width="25.125" style="59" customWidth="1"/>
    <col min="5" max="5" width="31.00390625" style="17" customWidth="1"/>
    <col min="6" max="6" width="12.375" style="17" customWidth="1"/>
    <col min="7" max="7" width="14.625" style="17" customWidth="1"/>
    <col min="8" max="8" width="11.625" style="17" bestFit="1" customWidth="1"/>
    <col min="9" max="9" width="12.00390625" style="4" customWidth="1"/>
    <col min="10" max="10" width="13.625" style="4" customWidth="1"/>
    <col min="11" max="11" width="13.125" style="4" customWidth="1"/>
    <col min="12" max="12" width="17.125" style="4" customWidth="1"/>
    <col min="13" max="13" width="0.12890625" style="4" customWidth="1"/>
    <col min="14" max="14" width="15.375" style="4" hidden="1" customWidth="1"/>
    <col min="15" max="15" width="13.375" style="44" hidden="1" customWidth="1"/>
    <col min="16" max="16" width="2.375" style="44" hidden="1" customWidth="1"/>
    <col min="17" max="17" width="13.125" style="44" hidden="1" customWidth="1"/>
    <col min="18" max="18" width="9.00390625" style="44" hidden="1" customWidth="1"/>
    <col min="19" max="19" width="79.375" style="14" customWidth="1"/>
    <col min="20" max="20" width="136.875" style="4" customWidth="1"/>
    <col min="21" max="16384" width="9.125" style="4" customWidth="1"/>
  </cols>
  <sheetData>
    <row r="1" spans="1:19" ht="53.25" customHeight="1">
      <c r="A1" s="148" t="s">
        <v>485</v>
      </c>
      <c r="B1" s="148"/>
      <c r="C1" s="148"/>
      <c r="D1" s="148"/>
      <c r="E1" s="148"/>
      <c r="F1" s="148"/>
      <c r="G1" s="148"/>
      <c r="H1" s="148"/>
      <c r="I1" s="148"/>
      <c r="J1" s="148"/>
      <c r="K1" s="148"/>
      <c r="L1" s="148"/>
      <c r="M1" s="148"/>
      <c r="N1" s="148"/>
      <c r="O1" s="148"/>
      <c r="P1" s="148"/>
      <c r="Q1" s="148"/>
      <c r="R1" s="148"/>
      <c r="S1" s="148"/>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21" t="s">
        <v>12</v>
      </c>
      <c r="B3" s="121" t="s">
        <v>254</v>
      </c>
      <c r="C3" s="121" t="s">
        <v>256</v>
      </c>
      <c r="D3" s="121" t="s">
        <v>269</v>
      </c>
      <c r="E3" s="121" t="s">
        <v>258</v>
      </c>
      <c r="F3" s="121" t="s">
        <v>259</v>
      </c>
      <c r="G3" s="121" t="s">
        <v>257</v>
      </c>
      <c r="H3" s="121" t="s">
        <v>250</v>
      </c>
      <c r="I3" s="121" t="s">
        <v>11</v>
      </c>
      <c r="J3" s="121" t="s">
        <v>251</v>
      </c>
      <c r="K3" s="121" t="s">
        <v>16</v>
      </c>
      <c r="L3" s="122" t="s">
        <v>241</v>
      </c>
      <c r="M3" s="123"/>
      <c r="N3" s="124" t="s">
        <v>252</v>
      </c>
      <c r="O3" s="125" t="s">
        <v>242</v>
      </c>
      <c r="P3" s="126"/>
      <c r="Q3" s="125" t="s">
        <v>253</v>
      </c>
      <c r="R3" s="126"/>
      <c r="S3" s="121" t="s">
        <v>255</v>
      </c>
    </row>
    <row r="4" spans="1:19" s="54" customFormat="1" ht="174" customHeight="1">
      <c r="A4" s="118" t="s">
        <v>492</v>
      </c>
      <c r="B4" s="118" t="s">
        <v>486</v>
      </c>
      <c r="C4" s="118" t="s">
        <v>493</v>
      </c>
      <c r="D4" s="118" t="s">
        <v>494</v>
      </c>
      <c r="E4" s="118" t="s">
        <v>487</v>
      </c>
      <c r="F4" s="118" t="s">
        <v>488</v>
      </c>
      <c r="G4" s="118" t="s">
        <v>490</v>
      </c>
      <c r="H4" s="118" t="s">
        <v>489</v>
      </c>
      <c r="I4" s="118" t="s">
        <v>491</v>
      </c>
      <c r="J4" s="75" t="s">
        <v>498</v>
      </c>
      <c r="K4" s="75" t="s">
        <v>499</v>
      </c>
      <c r="L4" s="120"/>
      <c r="M4" s="60"/>
      <c r="N4" s="53"/>
      <c r="O4" s="75" t="s">
        <v>273</v>
      </c>
      <c r="P4" s="76" t="s">
        <v>274</v>
      </c>
      <c r="Q4" s="75" t="s">
        <v>273</v>
      </c>
      <c r="R4" s="76" t="s">
        <v>274</v>
      </c>
      <c r="S4" s="119"/>
    </row>
    <row r="5" spans="1:19" ht="15" customHeight="1">
      <c r="A5" s="3">
        <v>1</v>
      </c>
      <c r="B5" s="3">
        <v>2</v>
      </c>
      <c r="C5" s="3">
        <v>3</v>
      </c>
      <c r="D5" s="3">
        <v>4</v>
      </c>
      <c r="E5" s="3">
        <v>5</v>
      </c>
      <c r="F5" s="3">
        <v>6</v>
      </c>
      <c r="G5" s="3">
        <v>7</v>
      </c>
      <c r="H5" s="3">
        <v>8</v>
      </c>
      <c r="I5" s="3">
        <v>9</v>
      </c>
      <c r="J5" s="3">
        <v>10</v>
      </c>
      <c r="K5" s="3">
        <v>11</v>
      </c>
      <c r="L5" s="3">
        <v>7</v>
      </c>
      <c r="M5" s="3">
        <v>8</v>
      </c>
      <c r="N5" s="3"/>
      <c r="O5" s="43"/>
      <c r="P5" s="43"/>
      <c r="Q5" s="43"/>
      <c r="R5" s="43"/>
      <c r="S5" s="3">
        <v>9</v>
      </c>
    </row>
    <row r="6" spans="1:19" ht="63">
      <c r="A6" s="127" t="s">
        <v>496</v>
      </c>
      <c r="B6" s="127" t="s">
        <v>497</v>
      </c>
      <c r="C6" s="127" t="s">
        <v>495</v>
      </c>
      <c r="D6" s="117" t="s">
        <v>500</v>
      </c>
      <c r="E6" s="117"/>
      <c r="F6" s="117"/>
      <c r="G6" s="117"/>
      <c r="H6" s="117"/>
      <c r="I6" s="117"/>
      <c r="J6" s="117"/>
      <c r="K6" s="117"/>
      <c r="L6" s="117"/>
      <c r="M6" s="117"/>
      <c r="N6" s="117"/>
      <c r="O6" s="64"/>
      <c r="P6" s="64"/>
      <c r="Q6" s="64"/>
      <c r="R6" s="64"/>
      <c r="S6" s="117"/>
    </row>
    <row r="7" spans="1:19" ht="15" customHeight="1">
      <c r="A7" s="127"/>
      <c r="B7" s="127"/>
      <c r="C7" s="127"/>
      <c r="D7" s="117"/>
      <c r="E7" s="117"/>
      <c r="F7" s="117"/>
      <c r="G7" s="117"/>
      <c r="H7" s="117"/>
      <c r="I7" s="117"/>
      <c r="J7" s="117"/>
      <c r="K7" s="117"/>
      <c r="L7" s="117"/>
      <c r="M7" s="117"/>
      <c r="N7" s="117"/>
      <c r="O7" s="64"/>
      <c r="P7" s="64"/>
      <c r="Q7" s="64"/>
      <c r="R7" s="64"/>
      <c r="S7" s="117"/>
    </row>
    <row r="8" spans="1:19" ht="15" customHeight="1">
      <c r="A8" s="127"/>
      <c r="B8" s="127"/>
      <c r="C8" s="127"/>
      <c r="D8" s="117"/>
      <c r="E8" s="117"/>
      <c r="F8" s="117"/>
      <c r="G8" s="117"/>
      <c r="H8" s="117"/>
      <c r="I8" s="117"/>
      <c r="J8" s="117"/>
      <c r="K8" s="117"/>
      <c r="L8" s="117"/>
      <c r="M8" s="117"/>
      <c r="N8" s="117"/>
      <c r="O8" s="64"/>
      <c r="P8" s="64"/>
      <c r="Q8" s="64"/>
      <c r="R8" s="64"/>
      <c r="S8" s="117"/>
    </row>
    <row r="9" spans="1:19" ht="15" customHeight="1">
      <c r="A9" s="127"/>
      <c r="B9" s="127"/>
      <c r="C9" s="127"/>
      <c r="D9" s="117"/>
      <c r="E9" s="117"/>
      <c r="F9" s="117"/>
      <c r="G9" s="117"/>
      <c r="H9" s="117"/>
      <c r="I9" s="117"/>
      <c r="J9" s="117"/>
      <c r="K9" s="117"/>
      <c r="L9" s="117"/>
      <c r="M9" s="117"/>
      <c r="N9" s="117"/>
      <c r="O9" s="64"/>
      <c r="P9" s="64"/>
      <c r="Q9" s="64"/>
      <c r="R9" s="64"/>
      <c r="S9" s="117"/>
    </row>
    <row r="10" spans="1:19" ht="15" customHeight="1">
      <c r="A10" s="127"/>
      <c r="B10" s="127"/>
      <c r="C10" s="127"/>
      <c r="D10" s="117"/>
      <c r="E10" s="117"/>
      <c r="F10" s="117"/>
      <c r="G10" s="117"/>
      <c r="H10" s="117"/>
      <c r="I10" s="117"/>
      <c r="J10" s="117"/>
      <c r="K10" s="117"/>
      <c r="L10" s="117"/>
      <c r="M10" s="117"/>
      <c r="N10" s="117"/>
      <c r="O10" s="64"/>
      <c r="P10" s="64"/>
      <c r="Q10" s="64"/>
      <c r="R10" s="64"/>
      <c r="S10" s="117"/>
    </row>
    <row r="11" spans="1:19" ht="15" customHeight="1">
      <c r="A11" s="127"/>
      <c r="B11" s="127"/>
      <c r="C11" s="127"/>
      <c r="D11" s="117"/>
      <c r="E11" s="117"/>
      <c r="F11" s="117"/>
      <c r="G11" s="117"/>
      <c r="H11" s="117"/>
      <c r="I11" s="117"/>
      <c r="J11" s="117"/>
      <c r="K11" s="117"/>
      <c r="L11" s="117"/>
      <c r="M11" s="117"/>
      <c r="N11" s="117"/>
      <c r="O11" s="64"/>
      <c r="P11" s="64"/>
      <c r="Q11" s="64"/>
      <c r="R11" s="64"/>
      <c r="S11" s="117"/>
    </row>
    <row r="12" spans="1:19" ht="15" customHeight="1">
      <c r="A12" s="127"/>
      <c r="B12" s="127"/>
      <c r="C12" s="127"/>
      <c r="D12" s="117"/>
      <c r="E12" s="117"/>
      <c r="F12" s="117"/>
      <c r="G12" s="117"/>
      <c r="H12" s="117"/>
      <c r="I12" s="117"/>
      <c r="J12" s="117"/>
      <c r="K12" s="117"/>
      <c r="L12" s="117"/>
      <c r="M12" s="117"/>
      <c r="N12" s="117"/>
      <c r="O12" s="64"/>
      <c r="P12" s="64"/>
      <c r="Q12" s="64"/>
      <c r="R12" s="64"/>
      <c r="S12" s="117"/>
    </row>
    <row r="13" spans="1:19" ht="15" customHeight="1">
      <c r="A13" s="127"/>
      <c r="B13" s="127"/>
      <c r="C13" s="127"/>
      <c r="D13" s="117"/>
      <c r="E13" s="117"/>
      <c r="F13" s="117"/>
      <c r="G13" s="117"/>
      <c r="H13" s="117"/>
      <c r="I13" s="117"/>
      <c r="J13" s="117"/>
      <c r="K13" s="117"/>
      <c r="L13" s="117"/>
      <c r="M13" s="117"/>
      <c r="N13" s="117"/>
      <c r="O13" s="64"/>
      <c r="P13" s="64"/>
      <c r="Q13" s="64"/>
      <c r="R13" s="64"/>
      <c r="S13" s="117"/>
    </row>
    <row r="14" spans="1:19" ht="15" customHeight="1">
      <c r="A14" s="127"/>
      <c r="B14" s="127"/>
      <c r="C14" s="127"/>
      <c r="D14" s="117"/>
      <c r="E14" s="117"/>
      <c r="F14" s="117"/>
      <c r="G14" s="117"/>
      <c r="H14" s="117"/>
      <c r="I14" s="117"/>
      <c r="J14" s="117"/>
      <c r="K14" s="117"/>
      <c r="L14" s="117"/>
      <c r="M14" s="117"/>
      <c r="N14" s="117"/>
      <c r="O14" s="64"/>
      <c r="P14" s="64"/>
      <c r="Q14" s="64"/>
      <c r="R14" s="64"/>
      <c r="S14" s="117"/>
    </row>
    <row r="15" spans="1:19" ht="15" customHeight="1">
      <c r="A15" s="127"/>
      <c r="B15" s="127"/>
      <c r="C15" s="127"/>
      <c r="D15" s="117"/>
      <c r="E15" s="117"/>
      <c r="F15" s="117"/>
      <c r="G15" s="117"/>
      <c r="H15" s="117"/>
      <c r="I15" s="117"/>
      <c r="J15" s="117"/>
      <c r="K15" s="117"/>
      <c r="L15" s="117"/>
      <c r="M15" s="117"/>
      <c r="N15" s="117"/>
      <c r="O15" s="64"/>
      <c r="P15" s="64"/>
      <c r="Q15" s="64"/>
      <c r="R15" s="64"/>
      <c r="S15" s="117"/>
    </row>
    <row r="16" spans="1:19" s="52" customFormat="1" ht="267.75">
      <c r="A16" s="61">
        <v>1</v>
      </c>
      <c r="B16" s="43" t="s">
        <v>483</v>
      </c>
      <c r="C16" s="6" t="s">
        <v>477</v>
      </c>
      <c r="D16" s="64"/>
      <c r="E16" s="64"/>
      <c r="F16" s="64"/>
      <c r="G16" s="64"/>
      <c r="H16" s="55"/>
      <c r="I16" s="28">
        <v>23900</v>
      </c>
      <c r="J16" s="28">
        <v>12010.825</v>
      </c>
      <c r="K16" s="9">
        <f aca="true" t="shared" si="0" ref="K16:K21">100-(J16/I16*100)</f>
        <v>49.74550209205021</v>
      </c>
      <c r="L16" s="23">
        <v>3922.796</v>
      </c>
      <c r="M16" s="23"/>
      <c r="N16" s="23"/>
      <c r="O16" s="23"/>
      <c r="P16" s="23"/>
      <c r="Q16" s="23"/>
      <c r="R16" s="23"/>
      <c r="S16" s="150" t="s">
        <v>255</v>
      </c>
    </row>
    <row r="17" spans="1:19" s="52" customFormat="1" ht="220.5">
      <c r="A17" s="61">
        <v>2</v>
      </c>
      <c r="B17" s="43" t="s">
        <v>484</v>
      </c>
      <c r="C17" s="6" t="s">
        <v>478</v>
      </c>
      <c r="D17" s="64"/>
      <c r="E17" s="64"/>
      <c r="F17" s="64"/>
      <c r="G17" s="64"/>
      <c r="H17" s="55"/>
      <c r="I17" s="28">
        <v>8536.548</v>
      </c>
      <c r="J17" s="28">
        <v>6683.534</v>
      </c>
      <c r="K17" s="9">
        <f t="shared" si="0"/>
        <v>21.706830442469254</v>
      </c>
      <c r="L17" s="23">
        <v>6683.534</v>
      </c>
      <c r="M17" s="23"/>
      <c r="N17" s="23"/>
      <c r="O17" s="23"/>
      <c r="P17" s="23"/>
      <c r="Q17" s="23"/>
      <c r="R17" s="23"/>
      <c r="S17" s="151"/>
    </row>
    <row r="18" spans="1:19" s="52" customFormat="1" ht="267.75">
      <c r="A18" s="61">
        <v>3</v>
      </c>
      <c r="B18" s="43" t="s">
        <v>484</v>
      </c>
      <c r="C18" s="6" t="s">
        <v>479</v>
      </c>
      <c r="D18" s="64"/>
      <c r="E18" s="64"/>
      <c r="F18" s="64"/>
      <c r="G18" s="64"/>
      <c r="H18" s="55"/>
      <c r="I18" s="28">
        <v>10187.289</v>
      </c>
      <c r="J18" s="28">
        <v>6980.272</v>
      </c>
      <c r="K18" s="9">
        <f t="shared" si="0"/>
        <v>31.480573487215295</v>
      </c>
      <c r="L18" s="23">
        <v>500</v>
      </c>
      <c r="M18" s="23"/>
      <c r="N18" s="23"/>
      <c r="O18" s="23"/>
      <c r="P18" s="23"/>
      <c r="Q18" s="23"/>
      <c r="R18" s="23"/>
      <c r="S18" s="25"/>
    </row>
    <row r="19" spans="1:19" s="52" customFormat="1" ht="330.75">
      <c r="A19" s="61">
        <v>4</v>
      </c>
      <c r="B19" s="43" t="s">
        <v>484</v>
      </c>
      <c r="C19" s="6" t="s">
        <v>480</v>
      </c>
      <c r="D19" s="64"/>
      <c r="E19" s="64"/>
      <c r="F19" s="64"/>
      <c r="G19" s="64"/>
      <c r="H19" s="55"/>
      <c r="I19" s="28">
        <v>3792.739</v>
      </c>
      <c r="J19" s="28">
        <v>3392.765</v>
      </c>
      <c r="K19" s="9">
        <f t="shared" si="0"/>
        <v>10.545782348851318</v>
      </c>
      <c r="L19" s="23">
        <v>250</v>
      </c>
      <c r="M19" s="23"/>
      <c r="N19" s="23"/>
      <c r="O19" s="23"/>
      <c r="P19" s="23"/>
      <c r="Q19" s="23"/>
      <c r="R19" s="23"/>
      <c r="S19" s="25"/>
    </row>
    <row r="20" spans="1:19" s="52" customFormat="1" ht="173.25">
      <c r="A20" s="61">
        <v>5</v>
      </c>
      <c r="B20" s="43" t="s">
        <v>484</v>
      </c>
      <c r="C20" s="6" t="s">
        <v>481</v>
      </c>
      <c r="D20" s="64"/>
      <c r="E20" s="64"/>
      <c r="F20" s="64"/>
      <c r="G20" s="64"/>
      <c r="H20" s="55"/>
      <c r="I20" s="28">
        <v>6800</v>
      </c>
      <c r="J20" s="28">
        <v>6800</v>
      </c>
      <c r="K20" s="9">
        <f t="shared" si="0"/>
        <v>0</v>
      </c>
      <c r="L20" s="23">
        <v>4000</v>
      </c>
      <c r="M20" s="23"/>
      <c r="N20" s="23"/>
      <c r="O20" s="23"/>
      <c r="P20" s="23"/>
      <c r="Q20" s="23"/>
      <c r="R20" s="23"/>
      <c r="S20" s="25"/>
    </row>
    <row r="21" spans="1:19" s="52" customFormat="1" ht="283.5">
      <c r="A21" s="61">
        <v>6</v>
      </c>
      <c r="B21" s="43" t="s">
        <v>483</v>
      </c>
      <c r="C21" s="6" t="s">
        <v>482</v>
      </c>
      <c r="D21" s="64"/>
      <c r="E21" s="64"/>
      <c r="F21" s="64"/>
      <c r="G21" s="64"/>
      <c r="H21" s="55"/>
      <c r="I21" s="28">
        <v>12800</v>
      </c>
      <c r="J21" s="28">
        <v>8463.67</v>
      </c>
      <c r="K21" s="9">
        <f t="shared" si="0"/>
        <v>33.877578125</v>
      </c>
      <c r="L21" s="23">
        <v>3083.67</v>
      </c>
      <c r="M21" s="23"/>
      <c r="N21" s="23"/>
      <c r="O21" s="23"/>
      <c r="P21" s="23"/>
      <c r="Q21" s="23"/>
      <c r="R21" s="23"/>
      <c r="S21" s="25"/>
    </row>
    <row r="22" spans="1:19" s="52" customFormat="1" ht="15.75">
      <c r="A22" s="77"/>
      <c r="B22" s="78"/>
      <c r="C22" s="79"/>
      <c r="D22" s="80"/>
      <c r="E22" s="80"/>
      <c r="F22" s="80"/>
      <c r="G22" s="80"/>
      <c r="H22" s="81"/>
      <c r="I22" s="94"/>
      <c r="J22" s="94"/>
      <c r="K22" s="82"/>
      <c r="L22" s="83"/>
      <c r="M22" s="83"/>
      <c r="N22" s="83"/>
      <c r="O22" s="83"/>
      <c r="P22" s="83"/>
      <c r="Q22" s="83"/>
      <c r="R22" s="83"/>
      <c r="S22" s="79"/>
    </row>
    <row r="23" spans="1:19" s="52" customFormat="1" ht="15.75">
      <c r="A23" s="77"/>
      <c r="B23" s="78"/>
      <c r="C23" s="79"/>
      <c r="D23" s="80"/>
      <c r="E23" s="80"/>
      <c r="F23" s="80"/>
      <c r="G23" s="80"/>
      <c r="H23" s="81"/>
      <c r="I23" s="94"/>
      <c r="J23" s="94"/>
      <c r="K23" s="82"/>
      <c r="L23" s="83"/>
      <c r="M23" s="83"/>
      <c r="N23" s="83"/>
      <c r="O23" s="83"/>
      <c r="P23" s="83"/>
      <c r="Q23" s="83"/>
      <c r="R23" s="83"/>
      <c r="S23" s="79"/>
    </row>
    <row r="24" spans="1:19" s="52" customFormat="1" ht="15.75">
      <c r="A24" s="77"/>
      <c r="B24" s="78"/>
      <c r="C24" s="79"/>
      <c r="D24" s="80"/>
      <c r="E24" s="80"/>
      <c r="F24" s="80"/>
      <c r="G24" s="80"/>
      <c r="H24" s="81"/>
      <c r="I24" s="94"/>
      <c r="J24" s="94"/>
      <c r="K24" s="82"/>
      <c r="L24" s="83"/>
      <c r="M24" s="83"/>
      <c r="N24" s="83"/>
      <c r="O24" s="83"/>
      <c r="P24" s="83"/>
      <c r="Q24" s="83"/>
      <c r="R24" s="83"/>
      <c r="S24" s="79"/>
    </row>
    <row r="25" spans="2:19" ht="40.5" customHeight="1">
      <c r="B25" s="149" t="s">
        <v>476</v>
      </c>
      <c r="C25" s="149"/>
      <c r="D25" s="149"/>
      <c r="E25" s="149"/>
      <c r="F25" s="149"/>
      <c r="G25" s="149"/>
      <c r="H25" s="149"/>
      <c r="I25" s="149"/>
      <c r="J25" s="149"/>
      <c r="S25" s="18" t="s">
        <v>382</v>
      </c>
    </row>
    <row r="26" ht="15.75">
      <c r="S26" s="18"/>
    </row>
    <row r="27" spans="1:8" ht="15.75">
      <c r="A27" s="18"/>
      <c r="C27" s="19"/>
      <c r="D27" s="57"/>
      <c r="E27" s="57"/>
      <c r="F27" s="57"/>
      <c r="G27" s="57"/>
      <c r="H27" s="57"/>
    </row>
  </sheetData>
  <sheetProtection/>
  <mergeCells count="3">
    <mergeCell ref="S16:S17"/>
    <mergeCell ref="A1:S1"/>
    <mergeCell ref="B25:J25"/>
  </mergeCells>
  <printOptions/>
  <pageMargins left="0.49" right="0.1968503937007874" top="0.56" bottom="0.2362204724409449" header="0.2755905511811024" footer="0.15748031496062992"/>
  <pageSetup horizontalDpi="600" verticalDpi="600" orientation="landscape" paperSize="9" scale="59" r:id="rId1"/>
  <rowBreaks count="1" manualBreakCount="1">
    <brk id="25" max="9" man="1"/>
  </rowBreaks>
</worksheet>
</file>

<file path=xl/worksheets/sheet15.xml><?xml version="1.0" encoding="utf-8"?>
<worksheet xmlns="http://schemas.openxmlformats.org/spreadsheetml/2006/main" xmlns:r="http://schemas.openxmlformats.org/officeDocument/2006/relationships">
  <sheetPr>
    <tabColor rgb="FF92D050"/>
  </sheetPr>
  <dimension ref="A1:T15"/>
  <sheetViews>
    <sheetView view="pageBreakPreview" zoomScale="55" zoomScaleNormal="70" zoomScaleSheetLayoutView="55" zoomScalePageLayoutView="0" workbookViewId="0" topLeftCell="A3">
      <pane xSplit="3" ySplit="3" topLeftCell="D12" activePane="bottomRight" state="frozen"/>
      <selection pane="topLeft" activeCell="A3" sqref="A3"/>
      <selection pane="topRight" activeCell="D3" sqref="D3"/>
      <selection pane="bottomLeft" activeCell="A5" sqref="A5"/>
      <selection pane="bottomRight" activeCell="B13" sqref="B13:J13"/>
    </sheetView>
  </sheetViews>
  <sheetFormatPr defaultColWidth="9.00390625" defaultRowHeight="12.75"/>
  <cols>
    <col min="1" max="1" width="4.875" style="4" customWidth="1"/>
    <col min="2" max="2" width="9.375" style="17" customWidth="1"/>
    <col min="3" max="3" width="43.625" style="8" customWidth="1"/>
    <col min="4" max="4" width="9.875" style="59" bestFit="1" customWidth="1"/>
    <col min="5" max="5" width="12.125" style="17" customWidth="1"/>
    <col min="6" max="6" width="11.00390625" style="17" customWidth="1"/>
    <col min="7" max="7" width="10.375" style="17" hidden="1" customWidth="1"/>
    <col min="8" max="8" width="7.875" style="17" hidden="1" customWidth="1"/>
    <col min="9" max="10" width="14.875" style="4" customWidth="1"/>
    <col min="11" max="11" width="8.875" style="4" customWidth="1"/>
    <col min="12" max="12" width="14.375" style="4" customWidth="1"/>
    <col min="13" max="13" width="12.625" style="4" hidden="1" customWidth="1"/>
    <col min="14" max="14" width="15.125" style="4" hidden="1" customWidth="1"/>
    <col min="15" max="15" width="13.875" style="44" customWidth="1"/>
    <col min="16" max="16" width="10.625" style="44" hidden="1" customWidth="1"/>
    <col min="17" max="17" width="13.875" style="44" customWidth="1"/>
    <col min="18" max="18" width="9.00390625" style="44" hidden="1" customWidth="1"/>
    <col min="19" max="19" width="61.375" style="4" customWidth="1"/>
    <col min="20" max="20" width="136.875" style="4" customWidth="1"/>
    <col min="21" max="16384" width="9.125" style="4" customWidth="1"/>
  </cols>
  <sheetData>
    <row r="1" spans="1:19" ht="53.25" customHeight="1">
      <c r="A1" s="148" t="s">
        <v>260</v>
      </c>
      <c r="B1" s="148"/>
      <c r="C1" s="148"/>
      <c r="D1" s="148"/>
      <c r="E1" s="148"/>
      <c r="F1" s="148"/>
      <c r="G1" s="148"/>
      <c r="H1" s="148"/>
      <c r="I1" s="148"/>
      <c r="J1" s="148"/>
      <c r="K1" s="148"/>
      <c r="L1" s="148"/>
      <c r="M1" s="148"/>
      <c r="N1" s="148"/>
      <c r="O1" s="148"/>
      <c r="P1" s="148"/>
      <c r="Q1" s="148"/>
      <c r="R1" s="148"/>
      <c r="S1" s="148"/>
    </row>
    <row r="2" spans="1:19" ht="16.5" customHeight="1" thickBot="1">
      <c r="A2" s="2"/>
      <c r="B2" s="16"/>
      <c r="C2" s="5"/>
      <c r="D2" s="58"/>
      <c r="E2" s="16"/>
      <c r="F2" s="16"/>
      <c r="G2" s="16"/>
      <c r="H2" s="16"/>
      <c r="I2" s="2"/>
      <c r="J2" s="2"/>
      <c r="K2" s="2"/>
      <c r="L2" s="2"/>
      <c r="M2" s="2"/>
      <c r="N2" s="2"/>
      <c r="O2" s="41"/>
      <c r="P2" s="41"/>
      <c r="Q2" s="41"/>
      <c r="R2" s="41"/>
      <c r="S2" s="2"/>
    </row>
    <row r="3" spans="1:19" s="54" customFormat="1" ht="67.5" customHeight="1">
      <c r="A3" s="150" t="s">
        <v>12</v>
      </c>
      <c r="B3" s="150" t="s">
        <v>254</v>
      </c>
      <c r="C3" s="150" t="s">
        <v>256</v>
      </c>
      <c r="D3" s="150" t="s">
        <v>269</v>
      </c>
      <c r="E3" s="150" t="s">
        <v>258</v>
      </c>
      <c r="F3" s="150" t="s">
        <v>259</v>
      </c>
      <c r="G3" s="150" t="s">
        <v>257</v>
      </c>
      <c r="H3" s="150" t="s">
        <v>250</v>
      </c>
      <c r="I3" s="150" t="s">
        <v>11</v>
      </c>
      <c r="J3" s="150" t="s">
        <v>251</v>
      </c>
      <c r="K3" s="150" t="s">
        <v>16</v>
      </c>
      <c r="L3" s="152" t="s">
        <v>241</v>
      </c>
      <c r="M3" s="153"/>
      <c r="N3" s="53" t="s">
        <v>252</v>
      </c>
      <c r="O3" s="154" t="s">
        <v>242</v>
      </c>
      <c r="P3" s="155"/>
      <c r="Q3" s="154" t="s">
        <v>253</v>
      </c>
      <c r="R3" s="155"/>
      <c r="S3" s="150" t="s">
        <v>255</v>
      </c>
    </row>
    <row r="4" spans="1:19" s="54" customFormat="1" ht="132" customHeight="1">
      <c r="A4" s="151"/>
      <c r="B4" s="151"/>
      <c r="C4" s="151"/>
      <c r="D4" s="151"/>
      <c r="E4" s="151"/>
      <c r="F4" s="151"/>
      <c r="G4" s="151"/>
      <c r="H4" s="151"/>
      <c r="I4" s="151"/>
      <c r="J4" s="151"/>
      <c r="K4" s="151"/>
      <c r="L4" s="53" t="s">
        <v>273</v>
      </c>
      <c r="M4" s="60" t="s">
        <v>274</v>
      </c>
      <c r="N4" s="53"/>
      <c r="O4" s="75" t="s">
        <v>273</v>
      </c>
      <c r="P4" s="76" t="s">
        <v>274</v>
      </c>
      <c r="Q4" s="75" t="s">
        <v>273</v>
      </c>
      <c r="R4" s="76" t="s">
        <v>274</v>
      </c>
      <c r="S4" s="151"/>
    </row>
    <row r="5" spans="1:19" ht="15" customHeight="1">
      <c r="A5" s="3">
        <v>1</v>
      </c>
      <c r="B5" s="3">
        <v>2</v>
      </c>
      <c r="C5" s="3">
        <v>3</v>
      </c>
      <c r="D5" s="3">
        <v>4</v>
      </c>
      <c r="E5" s="3">
        <v>5</v>
      </c>
      <c r="F5" s="3">
        <v>6</v>
      </c>
      <c r="G5" s="3">
        <v>7</v>
      </c>
      <c r="H5" s="3">
        <v>7</v>
      </c>
      <c r="I5" s="3">
        <v>7</v>
      </c>
      <c r="J5" s="3">
        <v>8</v>
      </c>
      <c r="K5" s="3">
        <v>9</v>
      </c>
      <c r="L5" s="3">
        <v>10</v>
      </c>
      <c r="M5" s="3">
        <v>8</v>
      </c>
      <c r="N5" s="3"/>
      <c r="O5" s="43">
        <v>11</v>
      </c>
      <c r="P5" s="43">
        <v>10</v>
      </c>
      <c r="Q5" s="43">
        <v>12</v>
      </c>
      <c r="R5" s="43">
        <v>12</v>
      </c>
      <c r="S5" s="3">
        <v>13</v>
      </c>
    </row>
    <row r="6" spans="1:19" ht="41.25" customHeight="1">
      <c r="A6" s="21"/>
      <c r="B6" s="21"/>
      <c r="C6" s="3" t="s">
        <v>13</v>
      </c>
      <c r="D6" s="3"/>
      <c r="E6" s="3" t="s">
        <v>30</v>
      </c>
      <c r="F6" s="3" t="s">
        <v>30</v>
      </c>
      <c r="G6" s="3" t="s">
        <v>30</v>
      </c>
      <c r="H6" s="3" t="s">
        <v>30</v>
      </c>
      <c r="I6" s="22">
        <f>SUM(I7:I11)</f>
        <v>125210.626</v>
      </c>
      <c r="J6" s="22">
        <f>SUM(J7:J11)</f>
        <v>90478.10800000001</v>
      </c>
      <c r="K6" s="22" t="s">
        <v>30</v>
      </c>
      <c r="L6" s="22">
        <f aca="true" t="shared" si="0" ref="L6:Q6">SUM(L7:L11)</f>
        <v>49555.134999999995</v>
      </c>
      <c r="M6" s="22">
        <f t="shared" si="0"/>
        <v>0</v>
      </c>
      <c r="N6" s="22">
        <f t="shared" si="0"/>
        <v>0</v>
      </c>
      <c r="O6" s="22">
        <f t="shared" si="0"/>
        <v>17109.846</v>
      </c>
      <c r="P6" s="22">
        <f t="shared" si="0"/>
        <v>0</v>
      </c>
      <c r="Q6" s="22">
        <f t="shared" si="0"/>
        <v>17109.846</v>
      </c>
      <c r="R6" s="22" t="e">
        <f>#REF!+#REF!+#REF!+#REF!+#REF!+#REF!</f>
        <v>#REF!</v>
      </c>
      <c r="S6" s="22" t="s">
        <v>30</v>
      </c>
    </row>
    <row r="7" spans="1:20" s="52" customFormat="1" ht="78.75">
      <c r="A7" s="61">
        <v>1</v>
      </c>
      <c r="B7" s="43" t="s">
        <v>452</v>
      </c>
      <c r="C7" s="96" t="s">
        <v>453</v>
      </c>
      <c r="D7" s="66" t="s">
        <v>270</v>
      </c>
      <c r="E7" s="97" t="s">
        <v>458</v>
      </c>
      <c r="F7" s="97"/>
      <c r="G7" s="56"/>
      <c r="H7" s="55">
        <v>2018</v>
      </c>
      <c r="I7" s="23">
        <v>57852.972</v>
      </c>
      <c r="J7" s="23">
        <v>57032.819</v>
      </c>
      <c r="K7" s="29">
        <f>100-(J7/I7*100)</f>
        <v>1.4176505919177345</v>
      </c>
      <c r="L7" s="23">
        <v>17109.846</v>
      </c>
      <c r="M7" s="23"/>
      <c r="N7" s="23"/>
      <c r="O7" s="23">
        <v>17109.846</v>
      </c>
      <c r="P7" s="23"/>
      <c r="Q7" s="23">
        <v>17109.846</v>
      </c>
      <c r="R7" s="23"/>
      <c r="S7" s="74"/>
      <c r="T7" s="52" t="s">
        <v>271</v>
      </c>
    </row>
    <row r="8" spans="1:20" s="52" customFormat="1" ht="78.75">
      <c r="A8" s="61">
        <v>2</v>
      </c>
      <c r="B8" s="43" t="s">
        <v>452</v>
      </c>
      <c r="C8" s="96" t="s">
        <v>454</v>
      </c>
      <c r="D8" s="66" t="s">
        <v>270</v>
      </c>
      <c r="E8" s="97" t="s">
        <v>460</v>
      </c>
      <c r="F8" s="97" t="s">
        <v>459</v>
      </c>
      <c r="G8" s="56"/>
      <c r="H8" s="55">
        <v>2018</v>
      </c>
      <c r="I8" s="23">
        <v>8401.106</v>
      </c>
      <c r="J8" s="23">
        <v>8287.26</v>
      </c>
      <c r="K8" s="29">
        <f>100-(J8/I8*100)</f>
        <v>1.355131098214926</v>
      </c>
      <c r="L8" s="23">
        <v>7287.26</v>
      </c>
      <c r="M8" s="23"/>
      <c r="N8" s="23"/>
      <c r="O8" s="23"/>
      <c r="P8" s="23"/>
      <c r="Q8" s="23"/>
      <c r="R8" s="23"/>
      <c r="S8" s="74"/>
      <c r="T8" s="52" t="s">
        <v>271</v>
      </c>
    </row>
    <row r="9" spans="1:20" s="52" customFormat="1" ht="78.75">
      <c r="A9" s="61">
        <v>3</v>
      </c>
      <c r="B9" s="43" t="s">
        <v>452</v>
      </c>
      <c r="C9" s="96" t="s">
        <v>455</v>
      </c>
      <c r="D9" s="66" t="s">
        <v>270</v>
      </c>
      <c r="E9" s="97" t="s">
        <v>277</v>
      </c>
      <c r="F9" s="97" t="s">
        <v>279</v>
      </c>
      <c r="G9" s="56"/>
      <c r="H9" s="55"/>
      <c r="I9" s="23">
        <f>27620.08+9999.92</f>
        <v>37620</v>
      </c>
      <c r="J9" s="23">
        <v>12010.825</v>
      </c>
      <c r="K9" s="29">
        <f>100-(J9/I9*100)</f>
        <v>68.07329877724615</v>
      </c>
      <c r="L9" s="23">
        <v>12010.825</v>
      </c>
      <c r="M9" s="23"/>
      <c r="N9" s="23"/>
      <c r="O9" s="23"/>
      <c r="P9" s="23"/>
      <c r="Q9" s="23"/>
      <c r="R9" s="23"/>
      <c r="S9" s="25"/>
      <c r="T9" s="52" t="s">
        <v>384</v>
      </c>
    </row>
    <row r="10" spans="1:19" s="52" customFormat="1" ht="78.75">
      <c r="A10" s="61">
        <v>4</v>
      </c>
      <c r="B10" s="43" t="s">
        <v>452</v>
      </c>
      <c r="C10" s="96" t="s">
        <v>456</v>
      </c>
      <c r="D10" s="64" t="s">
        <v>270</v>
      </c>
      <c r="E10" s="98" t="s">
        <v>339</v>
      </c>
      <c r="F10" s="98" t="s">
        <v>340</v>
      </c>
      <c r="G10" s="64"/>
      <c r="H10" s="55">
        <v>2017</v>
      </c>
      <c r="I10" s="23">
        <v>8536.548</v>
      </c>
      <c r="J10" s="23">
        <v>4683.534</v>
      </c>
      <c r="K10" s="29">
        <f>100-(J10/I10*100)</f>
        <v>45.13550442169365</v>
      </c>
      <c r="L10" s="23">
        <v>4683.534</v>
      </c>
      <c r="M10" s="23"/>
      <c r="N10" s="23"/>
      <c r="O10" s="23"/>
      <c r="P10" s="23"/>
      <c r="Q10" s="23"/>
      <c r="R10" s="23"/>
      <c r="S10" s="25"/>
    </row>
    <row r="11" spans="1:19" s="52" customFormat="1" ht="63">
      <c r="A11" s="61">
        <v>5</v>
      </c>
      <c r="B11" s="43" t="s">
        <v>452</v>
      </c>
      <c r="C11" s="96" t="s">
        <v>457</v>
      </c>
      <c r="D11" s="66" t="s">
        <v>270</v>
      </c>
      <c r="E11" s="97" t="s">
        <v>276</v>
      </c>
      <c r="F11" s="97" t="s">
        <v>275</v>
      </c>
      <c r="G11" s="56"/>
      <c r="H11" s="55"/>
      <c r="I11" s="23">
        <v>12800</v>
      </c>
      <c r="J11" s="23">
        <v>8463.67</v>
      </c>
      <c r="K11" s="29">
        <f>100-(J11/I11*100)</f>
        <v>33.877578125</v>
      </c>
      <c r="L11" s="23">
        <v>8463.67</v>
      </c>
      <c r="M11" s="23"/>
      <c r="N11" s="23"/>
      <c r="O11" s="23"/>
      <c r="P11" s="23"/>
      <c r="Q11" s="23"/>
      <c r="R11" s="23"/>
      <c r="S11" s="74"/>
    </row>
    <row r="12" spans="1:19" s="52" customFormat="1" ht="15.75">
      <c r="A12" s="77"/>
      <c r="B12" s="78"/>
      <c r="C12" s="79"/>
      <c r="D12" s="80"/>
      <c r="E12" s="80"/>
      <c r="F12" s="80"/>
      <c r="G12" s="80"/>
      <c r="H12" s="81"/>
      <c r="I12" s="94"/>
      <c r="J12" s="94"/>
      <c r="K12" s="82"/>
      <c r="L12" s="83"/>
      <c r="M12" s="83"/>
      <c r="N12" s="83"/>
      <c r="O12" s="83"/>
      <c r="P12" s="83"/>
      <c r="Q12" s="83"/>
      <c r="R12" s="83"/>
      <c r="S12" s="79"/>
    </row>
    <row r="13" spans="2:19" ht="40.5" customHeight="1">
      <c r="B13" s="149" t="s">
        <v>381</v>
      </c>
      <c r="C13" s="149"/>
      <c r="D13" s="149"/>
      <c r="E13" s="149"/>
      <c r="F13" s="149"/>
      <c r="G13" s="149"/>
      <c r="H13" s="149"/>
      <c r="I13" s="149"/>
      <c r="J13" s="149"/>
      <c r="S13" s="18" t="s">
        <v>382</v>
      </c>
    </row>
    <row r="14" ht="15.75">
      <c r="S14" s="18"/>
    </row>
    <row r="15" spans="1:8" ht="15.75">
      <c r="A15" s="18"/>
      <c r="C15" s="19"/>
      <c r="D15" s="57"/>
      <c r="E15" s="57"/>
      <c r="F15" s="57"/>
      <c r="G15" s="57"/>
      <c r="H15" s="57"/>
    </row>
  </sheetData>
  <sheetProtection/>
  <mergeCells count="17">
    <mergeCell ref="S3:S4"/>
    <mergeCell ref="A1:S1"/>
    <mergeCell ref="A3:A4"/>
    <mergeCell ref="B3:B4"/>
    <mergeCell ref="C3:C4"/>
    <mergeCell ref="D3:D4"/>
    <mergeCell ref="E3:E4"/>
    <mergeCell ref="F3:F4"/>
    <mergeCell ref="G3:G4"/>
    <mergeCell ref="H3:H4"/>
    <mergeCell ref="B13:J13"/>
    <mergeCell ref="J3:J4"/>
    <mergeCell ref="K3:K4"/>
    <mergeCell ref="L3:M3"/>
    <mergeCell ref="O3:P3"/>
    <mergeCell ref="Q3:R3"/>
    <mergeCell ref="I3:I4"/>
  </mergeCells>
  <printOptions/>
  <pageMargins left="0.2362204724409449" right="0.1968503937007874" top="0.49" bottom="0.2362204724409449" header="0.2755905511811024" footer="0.15748031496062992"/>
  <pageSetup horizontalDpi="600" verticalDpi="600" orientation="landscape" paperSize="9" scale="59" r:id="rId1"/>
  <rowBreaks count="2" manualBreakCount="2">
    <brk id="13" max="18" man="1"/>
    <brk id="14" max="9" man="1"/>
  </rowBreaks>
</worksheet>
</file>

<file path=xl/worksheets/sheet16.xml><?xml version="1.0" encoding="utf-8"?>
<worksheet xmlns="http://schemas.openxmlformats.org/spreadsheetml/2006/main" xmlns:r="http://schemas.openxmlformats.org/officeDocument/2006/relationships">
  <sheetPr>
    <tabColor rgb="FF92D050"/>
  </sheetPr>
  <dimension ref="A1:J18"/>
  <sheetViews>
    <sheetView zoomScale="55" zoomScaleNormal="55"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C6" sqref="C6"/>
    </sheetView>
  </sheetViews>
  <sheetFormatPr defaultColWidth="9.00390625" defaultRowHeight="12.75"/>
  <cols>
    <col min="1" max="1" width="6.00390625" style="4" customWidth="1"/>
    <col min="2" max="2" width="9.125" style="17" customWidth="1"/>
    <col min="3" max="3" width="79.625" style="8" customWidth="1"/>
    <col min="4" max="4" width="13.375" style="4" customWidth="1"/>
    <col min="5" max="5" width="13.00390625" style="4" customWidth="1"/>
    <col min="6" max="6" width="15.625" style="4" customWidth="1"/>
    <col min="7" max="7" width="15.625" style="44" customWidth="1"/>
    <col min="8" max="8" width="36.875" style="4" customWidth="1"/>
    <col min="9" max="9" width="11.625" style="4" customWidth="1"/>
    <col min="10" max="10" width="13.125" style="4" customWidth="1"/>
    <col min="11" max="16384" width="9.125" style="4" customWidth="1"/>
  </cols>
  <sheetData>
    <row r="1" spans="1:9" ht="53.25" customHeight="1">
      <c r="A1" s="148" t="s">
        <v>57</v>
      </c>
      <c r="B1" s="148"/>
      <c r="C1" s="148"/>
      <c r="D1" s="148"/>
      <c r="E1" s="148"/>
      <c r="F1" s="148"/>
      <c r="G1" s="148"/>
      <c r="H1" s="148"/>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3</v>
      </c>
      <c r="D4" s="3">
        <v>4</v>
      </c>
      <c r="E4" s="3">
        <v>5</v>
      </c>
      <c r="F4" s="3">
        <v>6</v>
      </c>
      <c r="G4" s="43">
        <v>7</v>
      </c>
      <c r="H4" s="3">
        <v>8</v>
      </c>
    </row>
    <row r="5" spans="1:10" ht="30.75" customHeight="1">
      <c r="A5" s="21"/>
      <c r="B5" s="21"/>
      <c r="C5" s="3" t="s">
        <v>13</v>
      </c>
      <c r="D5" s="22">
        <f>SUM(D6:D13)</f>
        <v>2970</v>
      </c>
      <c r="E5" s="22">
        <f>SUM(E6:E13)</f>
        <v>2970</v>
      </c>
      <c r="F5" s="22" t="s">
        <v>30</v>
      </c>
      <c r="G5" s="40">
        <f>SUM(G6:G13)</f>
        <v>2970</v>
      </c>
      <c r="H5" s="40" t="s">
        <v>30</v>
      </c>
      <c r="I5" s="38"/>
      <c r="J5" s="13"/>
    </row>
    <row r="6" spans="1:9" s="14" customFormat="1" ht="47.25">
      <c r="A6" s="1">
        <v>1</v>
      </c>
      <c r="B6" s="3" t="s">
        <v>19</v>
      </c>
      <c r="C6" s="15" t="s">
        <v>222</v>
      </c>
      <c r="D6" s="20">
        <v>500</v>
      </c>
      <c r="E6" s="20">
        <v>500</v>
      </c>
      <c r="F6" s="48">
        <v>0</v>
      </c>
      <c r="G6" s="23">
        <v>500</v>
      </c>
      <c r="H6" s="25" t="s">
        <v>226</v>
      </c>
      <c r="I6" s="7"/>
    </row>
    <row r="7" spans="1:9" s="14" customFormat="1" ht="63">
      <c r="A7" s="1">
        <v>2</v>
      </c>
      <c r="B7" s="3" t="s">
        <v>19</v>
      </c>
      <c r="C7" s="6" t="s">
        <v>225</v>
      </c>
      <c r="D7" s="47">
        <v>70</v>
      </c>
      <c r="E7" s="47">
        <f aca="true" t="shared" si="0" ref="E7:E13">D7</f>
        <v>70</v>
      </c>
      <c r="F7" s="48">
        <f>100-(E7/D7*100)</f>
        <v>0</v>
      </c>
      <c r="G7" s="47">
        <v>70</v>
      </c>
      <c r="H7" s="49" t="s">
        <v>202</v>
      </c>
      <c r="I7" s="32"/>
    </row>
    <row r="8" spans="1:9" s="14" customFormat="1" ht="45">
      <c r="A8" s="1">
        <v>3</v>
      </c>
      <c r="B8" s="45" t="s">
        <v>23</v>
      </c>
      <c r="C8" s="46" t="s">
        <v>224</v>
      </c>
      <c r="D8" s="47">
        <v>300</v>
      </c>
      <c r="E8" s="47">
        <f t="shared" si="0"/>
        <v>300</v>
      </c>
      <c r="F8" s="48">
        <f>100-(E8/D8*100)</f>
        <v>0</v>
      </c>
      <c r="G8" s="47">
        <v>300</v>
      </c>
      <c r="H8" s="49" t="s">
        <v>202</v>
      </c>
      <c r="I8" s="4"/>
    </row>
    <row r="9" spans="1:9" s="14" customFormat="1" ht="47.25">
      <c r="A9" s="1">
        <v>4</v>
      </c>
      <c r="B9" s="3" t="s">
        <v>23</v>
      </c>
      <c r="C9" s="6" t="s">
        <v>54</v>
      </c>
      <c r="D9" s="23">
        <v>250</v>
      </c>
      <c r="E9" s="23">
        <f t="shared" si="0"/>
        <v>250</v>
      </c>
      <c r="F9" s="9">
        <f>100-(E9/D9*100)</f>
        <v>0</v>
      </c>
      <c r="G9" s="23">
        <v>250</v>
      </c>
      <c r="H9" s="24" t="s">
        <v>227</v>
      </c>
      <c r="I9" s="4"/>
    </row>
    <row r="10" spans="1:9" s="14" customFormat="1" ht="47.25">
      <c r="A10" s="1">
        <v>5</v>
      </c>
      <c r="B10" s="3" t="s">
        <v>111</v>
      </c>
      <c r="C10" s="6" t="s">
        <v>112</v>
      </c>
      <c r="D10" s="23">
        <v>300</v>
      </c>
      <c r="E10" s="23">
        <f t="shared" si="0"/>
        <v>300</v>
      </c>
      <c r="F10" s="29">
        <v>0</v>
      </c>
      <c r="G10" s="23">
        <v>300</v>
      </c>
      <c r="H10" s="24" t="s">
        <v>167</v>
      </c>
      <c r="I10" s="18"/>
    </row>
    <row r="11" spans="1:9" s="14" customFormat="1" ht="63">
      <c r="A11" s="1">
        <v>6</v>
      </c>
      <c r="B11" s="3" t="s">
        <v>120</v>
      </c>
      <c r="C11" s="6" t="s">
        <v>122</v>
      </c>
      <c r="D11" s="7">
        <v>700</v>
      </c>
      <c r="E11" s="7">
        <f t="shared" si="0"/>
        <v>700</v>
      </c>
      <c r="F11" s="9">
        <f>100-(E11/D11*100)</f>
        <v>0</v>
      </c>
      <c r="G11" s="23">
        <v>700</v>
      </c>
      <c r="H11" s="24" t="s">
        <v>202</v>
      </c>
      <c r="I11" s="4"/>
    </row>
    <row r="12" spans="1:9" s="14" customFormat="1" ht="47.25">
      <c r="A12" s="1">
        <v>7</v>
      </c>
      <c r="B12" s="3" t="s">
        <v>218</v>
      </c>
      <c r="C12" s="6" t="s">
        <v>114</v>
      </c>
      <c r="D12" s="20">
        <v>150</v>
      </c>
      <c r="E12" s="7">
        <f t="shared" si="0"/>
        <v>150</v>
      </c>
      <c r="F12" s="9">
        <f>100-(E12/D12*100)</f>
        <v>0</v>
      </c>
      <c r="G12" s="23">
        <v>150</v>
      </c>
      <c r="H12" s="24" t="s">
        <v>227</v>
      </c>
      <c r="I12" s="4"/>
    </row>
    <row r="13" spans="1:9" s="14" customFormat="1" ht="63">
      <c r="A13" s="1">
        <v>8</v>
      </c>
      <c r="B13" s="3" t="s">
        <v>27</v>
      </c>
      <c r="C13" s="6" t="s">
        <v>0</v>
      </c>
      <c r="D13" s="20">
        <v>700</v>
      </c>
      <c r="E13" s="20">
        <f t="shared" si="0"/>
        <v>700</v>
      </c>
      <c r="F13" s="9">
        <f>100-(E13/D13*100)</f>
        <v>0</v>
      </c>
      <c r="G13" s="23">
        <v>700</v>
      </c>
      <c r="H13" s="24" t="s">
        <v>202</v>
      </c>
      <c r="I13" s="4"/>
    </row>
    <row r="16" spans="2:10" ht="40.5" customHeight="1">
      <c r="B16" s="149" t="s">
        <v>39</v>
      </c>
      <c r="C16" s="149"/>
      <c r="D16" s="149"/>
      <c r="E16" s="149"/>
      <c r="H16" s="18" t="s">
        <v>31</v>
      </c>
      <c r="J16" s="18"/>
    </row>
    <row r="17" spans="8:10" ht="15.75">
      <c r="H17" s="18"/>
      <c r="J17" s="18"/>
    </row>
    <row r="18" spans="1:3" ht="15.75">
      <c r="A18" s="18"/>
      <c r="C18" s="19" t="s">
        <v>32</v>
      </c>
    </row>
  </sheetData>
  <sheetProtection/>
  <mergeCells count="2">
    <mergeCell ref="A1:H1"/>
    <mergeCell ref="B16:E16"/>
  </mergeCells>
  <printOptions/>
  <pageMargins left="0.2755905511811024" right="0.1968503937007874" top="0.31496062992125984" bottom="0.2362204724409449" header="0.2755905511811024" footer="0.15748031496062992"/>
  <pageSetup horizontalDpi="600" verticalDpi="600" orientation="landscape" paperSize="9" scale="75" r:id="rId1"/>
</worksheet>
</file>

<file path=xl/worksheets/sheet17.xml><?xml version="1.0" encoding="utf-8"?>
<worksheet xmlns="http://schemas.openxmlformats.org/spreadsheetml/2006/main" xmlns:r="http://schemas.openxmlformats.org/officeDocument/2006/relationships">
  <sheetPr>
    <tabColor indexed="26"/>
  </sheetPr>
  <dimension ref="A1:J10"/>
  <sheetViews>
    <sheetView view="pageBreakPreview" zoomScale="5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48" t="s">
        <v>212</v>
      </c>
      <c r="B1" s="148"/>
      <c r="C1" s="148"/>
      <c r="D1" s="148"/>
      <c r="E1" s="148"/>
      <c r="F1" s="148"/>
      <c r="G1" s="148"/>
      <c r="H1" s="148"/>
      <c r="I1" s="30"/>
    </row>
    <row r="2" spans="1:8" ht="16.5" customHeight="1">
      <c r="A2" s="2"/>
      <c r="B2" s="16"/>
      <c r="C2" s="5"/>
      <c r="D2" s="2"/>
      <c r="E2" s="2"/>
      <c r="F2" s="2"/>
      <c r="G2" s="2"/>
      <c r="H2" s="2"/>
    </row>
    <row r="3" spans="1:9" ht="105.75" customHeight="1">
      <c r="A3" s="12" t="s">
        <v>12</v>
      </c>
      <c r="B3" s="12" t="s">
        <v>17</v>
      </c>
      <c r="C3" s="12" t="s">
        <v>14</v>
      </c>
      <c r="D3" s="12" t="s">
        <v>11</v>
      </c>
      <c r="E3" s="12" t="s">
        <v>213</v>
      </c>
      <c r="F3" s="12" t="s">
        <v>16</v>
      </c>
      <c r="G3" s="12" t="s">
        <v>214</v>
      </c>
      <c r="H3" s="12" t="s">
        <v>15</v>
      </c>
      <c r="I3" s="12"/>
    </row>
    <row r="4" spans="1:8" ht="15.75">
      <c r="A4" s="3">
        <v>1</v>
      </c>
      <c r="B4" s="3">
        <v>2</v>
      </c>
      <c r="C4" s="3">
        <v>3</v>
      </c>
      <c r="D4" s="3">
        <v>4</v>
      </c>
      <c r="E4" s="3">
        <v>5</v>
      </c>
      <c r="F4" s="3">
        <v>6</v>
      </c>
      <c r="G4" s="3">
        <v>7</v>
      </c>
      <c r="H4" s="3">
        <v>8</v>
      </c>
    </row>
    <row r="5" spans="1:10" ht="30.75" customHeight="1">
      <c r="A5" s="21"/>
      <c r="B5" s="21"/>
      <c r="C5" s="3" t="s">
        <v>13</v>
      </c>
      <c r="D5" s="22">
        <f>SUM(D6:D9)</f>
        <v>72213.306</v>
      </c>
      <c r="E5" s="22">
        <f>SUM(E6:E9)</f>
        <v>53047.18</v>
      </c>
      <c r="F5" s="22" t="s">
        <v>30</v>
      </c>
      <c r="G5" s="22">
        <f>SUM(G6:G9)</f>
        <v>3000.0000000000005</v>
      </c>
      <c r="H5" s="10"/>
      <c r="J5" s="13" t="e">
        <f>I5-#REF!</f>
        <v>#REF!</v>
      </c>
    </row>
    <row r="6" spans="1:9" s="14" customFormat="1" ht="236.25">
      <c r="A6" s="1">
        <v>1</v>
      </c>
      <c r="B6" s="3" t="s">
        <v>28</v>
      </c>
      <c r="C6" s="15" t="s">
        <v>29</v>
      </c>
      <c r="D6" s="20">
        <v>70790.65</v>
      </c>
      <c r="E6" s="20">
        <f>D6-18842.403</f>
        <v>51948.246999999996</v>
      </c>
      <c r="F6" s="9">
        <f>100-(E6/D6*100)</f>
        <v>26.61707866787492</v>
      </c>
      <c r="G6" s="23">
        <v>1901.067</v>
      </c>
      <c r="H6" s="25" t="s">
        <v>50</v>
      </c>
      <c r="I6" s="7"/>
    </row>
    <row r="7" spans="1:9" s="14" customFormat="1" ht="94.5">
      <c r="A7" s="1">
        <v>2</v>
      </c>
      <c r="B7" s="3" t="s">
        <v>28</v>
      </c>
      <c r="C7" s="15" t="s">
        <v>135</v>
      </c>
      <c r="D7" s="20">
        <v>383.911</v>
      </c>
      <c r="E7" s="20">
        <f>D7-25.723</f>
        <v>358.188</v>
      </c>
      <c r="F7" s="9">
        <f>100-(E7/D7*100)</f>
        <v>6.700250839387252</v>
      </c>
      <c r="G7" s="23">
        <v>358.188</v>
      </c>
      <c r="H7" s="11" t="s">
        <v>217</v>
      </c>
      <c r="I7" s="32"/>
    </row>
    <row r="8" spans="1:9" s="14" customFormat="1" ht="63">
      <c r="A8" s="1">
        <v>3</v>
      </c>
      <c r="B8" s="3" t="s">
        <v>28</v>
      </c>
      <c r="C8" s="15" t="s">
        <v>143</v>
      </c>
      <c r="D8" s="20">
        <v>500.3</v>
      </c>
      <c r="E8" s="20">
        <f>D8-18</f>
        <v>482.3</v>
      </c>
      <c r="F8" s="9">
        <f>100-(E8/D8*100)</f>
        <v>3.5978412952228638</v>
      </c>
      <c r="G8" s="23">
        <v>482.3</v>
      </c>
      <c r="H8" s="27" t="s">
        <v>163</v>
      </c>
      <c r="I8" s="32"/>
    </row>
    <row r="9" spans="1:9" s="14" customFormat="1" ht="47.25">
      <c r="A9" s="1">
        <v>4</v>
      </c>
      <c r="B9" s="3" t="s">
        <v>18</v>
      </c>
      <c r="C9" s="6" t="s">
        <v>64</v>
      </c>
      <c r="D9" s="20">
        <v>538.445</v>
      </c>
      <c r="E9" s="20">
        <f>D9-280</f>
        <v>258.44500000000005</v>
      </c>
      <c r="F9" s="9">
        <f>100-(E9/D9*100)</f>
        <v>52.001597191913746</v>
      </c>
      <c r="G9" s="23">
        <v>258.445</v>
      </c>
      <c r="H9" s="6" t="s">
        <v>179</v>
      </c>
      <c r="I9" s="4"/>
    </row>
    <row r="10" spans="1:9" s="14" customFormat="1" ht="110.25">
      <c r="A10" s="1">
        <v>5</v>
      </c>
      <c r="B10" s="3" t="s">
        <v>78</v>
      </c>
      <c r="C10" s="6" t="s">
        <v>215</v>
      </c>
      <c r="D10" s="20">
        <f>297.072+600-32.592</f>
        <v>864.48</v>
      </c>
      <c r="E10" s="20">
        <f>D10-30.259-234.221</f>
        <v>600</v>
      </c>
      <c r="F10" s="9">
        <f>100-(E10/D10*100)</f>
        <v>30.594114380899512</v>
      </c>
      <c r="G10" s="23">
        <v>600</v>
      </c>
      <c r="H10" s="6" t="s">
        <v>216</v>
      </c>
      <c r="I10" s="4"/>
    </row>
  </sheetData>
  <sheetProtection/>
  <mergeCells count="1">
    <mergeCell ref="A1:H1"/>
  </mergeCells>
  <printOptions/>
  <pageMargins left="0.2755905511811024" right="0.2" top="0.3" bottom="0.23" header="0.27" footer="0.15748031496062992"/>
  <pageSetup horizontalDpi="600" verticalDpi="600" orientation="landscape" paperSize="9" scale="69" r:id="rId1"/>
</worksheet>
</file>

<file path=xl/worksheets/sheet18.xml><?xml version="1.0" encoding="utf-8"?>
<worksheet xmlns="http://schemas.openxmlformats.org/spreadsheetml/2006/main" xmlns:r="http://schemas.openxmlformats.org/officeDocument/2006/relationships">
  <sheetPr>
    <tabColor indexed="26"/>
  </sheetPr>
  <dimension ref="A1:J9"/>
  <sheetViews>
    <sheetView zoomScale="7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48" t="s">
        <v>212</v>
      </c>
      <c r="B1" s="148"/>
      <c r="C1" s="148"/>
      <c r="D1" s="148"/>
      <c r="E1" s="148"/>
      <c r="F1" s="148"/>
      <c r="G1" s="148"/>
      <c r="H1" s="148"/>
      <c r="I1" s="30"/>
    </row>
    <row r="2" spans="1:8" ht="16.5" customHeight="1">
      <c r="A2" s="2"/>
      <c r="B2" s="16"/>
      <c r="C2" s="5"/>
      <c r="D2" s="2"/>
      <c r="E2" s="2"/>
      <c r="F2" s="2"/>
      <c r="G2" s="2"/>
      <c r="H2" s="2"/>
    </row>
    <row r="3" spans="1:9" ht="105.75" customHeight="1">
      <c r="A3" s="12" t="s">
        <v>12</v>
      </c>
      <c r="B3" s="12" t="s">
        <v>17</v>
      </c>
      <c r="C3" s="12" t="s">
        <v>14</v>
      </c>
      <c r="D3" s="12" t="s">
        <v>11</v>
      </c>
      <c r="E3" s="12" t="s">
        <v>213</v>
      </c>
      <c r="F3" s="12" t="s">
        <v>16</v>
      </c>
      <c r="G3" s="12" t="s">
        <v>214</v>
      </c>
      <c r="H3" s="12" t="s">
        <v>15</v>
      </c>
      <c r="I3" s="12"/>
    </row>
    <row r="4" spans="1:8" ht="15.75">
      <c r="A4" s="3">
        <v>1</v>
      </c>
      <c r="B4" s="3">
        <v>2</v>
      </c>
      <c r="C4" s="3">
        <v>3</v>
      </c>
      <c r="D4" s="3">
        <v>4</v>
      </c>
      <c r="E4" s="3">
        <v>5</v>
      </c>
      <c r="F4" s="3">
        <v>6</v>
      </c>
      <c r="G4" s="3">
        <v>7</v>
      </c>
      <c r="H4" s="3">
        <v>8</v>
      </c>
    </row>
    <row r="5" spans="1:10" ht="30.75" customHeight="1">
      <c r="A5" s="21"/>
      <c r="B5" s="21"/>
      <c r="C5" s="3" t="s">
        <v>13</v>
      </c>
      <c r="D5" s="22">
        <f>SUM(D6:D8)</f>
        <v>71713.006</v>
      </c>
      <c r="E5" s="22">
        <f>SUM(E6:E8)</f>
        <v>52564.88</v>
      </c>
      <c r="F5" s="22" t="s">
        <v>30</v>
      </c>
      <c r="G5" s="22">
        <f>SUM(G6:G8)</f>
        <v>3000.0000000000005</v>
      </c>
      <c r="H5" s="10"/>
      <c r="J5" s="13" t="e">
        <f>I5-#REF!</f>
        <v>#REF!</v>
      </c>
    </row>
    <row r="6" spans="1:9" s="14" customFormat="1" ht="236.25">
      <c r="A6" s="1">
        <v>1</v>
      </c>
      <c r="B6" s="3" t="s">
        <v>28</v>
      </c>
      <c r="C6" s="15" t="s">
        <v>29</v>
      </c>
      <c r="D6" s="20">
        <v>70790.65</v>
      </c>
      <c r="E6" s="20">
        <f>D6-18842.403</f>
        <v>51948.246999999996</v>
      </c>
      <c r="F6" s="9">
        <f>100-(E6/D6*100)</f>
        <v>26.61707866787492</v>
      </c>
      <c r="G6" s="23">
        <f>1901.067+482.3</f>
        <v>2383.367</v>
      </c>
      <c r="H6" s="25" t="s">
        <v>50</v>
      </c>
      <c r="I6" s="7"/>
    </row>
    <row r="7" spans="1:9" s="14" customFormat="1" ht="94.5">
      <c r="A7" s="1">
        <v>2</v>
      </c>
      <c r="B7" s="3" t="s">
        <v>28</v>
      </c>
      <c r="C7" s="15" t="s">
        <v>135</v>
      </c>
      <c r="D7" s="20">
        <v>383.911</v>
      </c>
      <c r="E7" s="20">
        <f>D7-25.723</f>
        <v>358.188</v>
      </c>
      <c r="F7" s="9">
        <f>100-(E7/D7*100)</f>
        <v>6.700250839387252</v>
      </c>
      <c r="G7" s="23">
        <v>358.188</v>
      </c>
      <c r="H7" s="11" t="s">
        <v>217</v>
      </c>
      <c r="I7" s="32"/>
    </row>
    <row r="8" spans="1:9" s="14" customFormat="1" ht="47.25">
      <c r="A8" s="1">
        <v>3</v>
      </c>
      <c r="B8" s="3" t="s">
        <v>18</v>
      </c>
      <c r="C8" s="6" t="s">
        <v>64</v>
      </c>
      <c r="D8" s="20">
        <v>538.445</v>
      </c>
      <c r="E8" s="20">
        <f>D8-280</f>
        <v>258.44500000000005</v>
      </c>
      <c r="F8" s="9">
        <f>100-(E8/D8*100)</f>
        <v>52.001597191913746</v>
      </c>
      <c r="G8" s="23">
        <v>258.445</v>
      </c>
      <c r="H8" s="6" t="s">
        <v>179</v>
      </c>
      <c r="I8" s="4"/>
    </row>
    <row r="9" spans="1:9" s="14" customFormat="1" ht="110.25">
      <c r="A9" s="1">
        <v>4</v>
      </c>
      <c r="B9" s="3" t="s">
        <v>78</v>
      </c>
      <c r="C9" s="6" t="s">
        <v>215</v>
      </c>
      <c r="D9" s="20">
        <f>297.072+600-32.592</f>
        <v>864.48</v>
      </c>
      <c r="E9" s="20">
        <f>D9-30.259-234.221</f>
        <v>600</v>
      </c>
      <c r="F9" s="9">
        <f>100-(E9/D9*100)</f>
        <v>30.594114380899512</v>
      </c>
      <c r="G9" s="23">
        <v>600</v>
      </c>
      <c r="H9" s="6" t="s">
        <v>216</v>
      </c>
      <c r="I9" s="4"/>
    </row>
  </sheetData>
  <sheetProtection/>
  <mergeCells count="1">
    <mergeCell ref="A1:H1"/>
  </mergeCells>
  <printOptions/>
  <pageMargins left="0.2755905511811024" right="0.2" top="0.3" bottom="0.23" header="0.27" footer="0.15748031496062992"/>
  <pageSetup horizontalDpi="600" verticalDpi="600" orientation="landscape" paperSize="9" scale="69" r:id="rId1"/>
</worksheet>
</file>

<file path=xl/worksheets/sheet19.xml><?xml version="1.0" encoding="utf-8"?>
<worksheet xmlns="http://schemas.openxmlformats.org/spreadsheetml/2006/main" xmlns:r="http://schemas.openxmlformats.org/officeDocument/2006/relationships">
  <sheetPr>
    <tabColor rgb="FFFFFF00"/>
  </sheetPr>
  <dimension ref="A1:J15"/>
  <sheetViews>
    <sheetView zoomScale="7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48" t="s">
        <v>57</v>
      </c>
      <c r="B1" s="148"/>
      <c r="C1" s="148"/>
      <c r="D1" s="148"/>
      <c r="E1" s="148"/>
      <c r="F1" s="148"/>
      <c r="G1" s="148"/>
      <c r="H1" s="148"/>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SUM(D6:D11)</f>
        <v>44145.047</v>
      </c>
      <c r="E5" s="22">
        <f>SUM(E6:E11)</f>
        <v>40375.815</v>
      </c>
      <c r="F5" s="22" t="s">
        <v>30</v>
      </c>
      <c r="G5" s="22">
        <f>SUM(G6:G11)</f>
        <v>20782.308999999997</v>
      </c>
      <c r="H5" s="10"/>
      <c r="J5" s="13" t="e">
        <f>I5-#REF!</f>
        <v>#REF!</v>
      </c>
    </row>
    <row r="6" spans="1:9" s="14" customFormat="1" ht="94.5">
      <c r="A6" s="1">
        <v>1</v>
      </c>
      <c r="B6" s="3" t="s">
        <v>33</v>
      </c>
      <c r="C6" s="6" t="s">
        <v>79</v>
      </c>
      <c r="D6" s="20">
        <v>21981.914</v>
      </c>
      <c r="E6" s="20">
        <f>D6-188.441</f>
        <v>21793.473</v>
      </c>
      <c r="F6" s="9">
        <f aca="true" t="shared" si="0" ref="F6:F11">100-(E6/D6*100)</f>
        <v>0.8572547413296121</v>
      </c>
      <c r="G6" s="23">
        <v>2200</v>
      </c>
      <c r="H6" s="6" t="s">
        <v>82</v>
      </c>
      <c r="I6" s="7"/>
    </row>
    <row r="7" spans="1:9" s="14" customFormat="1" ht="63">
      <c r="A7" s="1">
        <v>2</v>
      </c>
      <c r="B7" s="3" t="s">
        <v>27</v>
      </c>
      <c r="C7" s="6" t="s">
        <v>61</v>
      </c>
      <c r="D7" s="20">
        <v>4691.8</v>
      </c>
      <c r="E7" s="20">
        <f>4691.8-1520</f>
        <v>3171.8</v>
      </c>
      <c r="F7" s="9">
        <f t="shared" si="0"/>
        <v>32.396947866490464</v>
      </c>
      <c r="G7" s="20">
        <v>3171.8</v>
      </c>
      <c r="H7" s="6" t="s">
        <v>47</v>
      </c>
      <c r="I7" s="4"/>
    </row>
    <row r="8" spans="1:9" s="14" customFormat="1" ht="110.25">
      <c r="A8" s="1">
        <v>3</v>
      </c>
      <c r="B8" s="3" t="s">
        <v>27</v>
      </c>
      <c r="C8" s="6" t="s">
        <v>0</v>
      </c>
      <c r="D8" s="20">
        <v>3800</v>
      </c>
      <c r="E8" s="20">
        <f>D8</f>
        <v>3800</v>
      </c>
      <c r="F8" s="9">
        <f t="shared" si="0"/>
        <v>0</v>
      </c>
      <c r="G8" s="20">
        <v>3800</v>
      </c>
      <c r="H8" s="6" t="s">
        <v>204</v>
      </c>
      <c r="I8" s="4"/>
    </row>
    <row r="9" spans="1:9" s="14" customFormat="1" ht="110.25">
      <c r="A9" s="1">
        <v>4</v>
      </c>
      <c r="B9" s="3" t="s">
        <v>27</v>
      </c>
      <c r="C9" s="6" t="s">
        <v>1</v>
      </c>
      <c r="D9" s="20">
        <v>400</v>
      </c>
      <c r="E9" s="20">
        <f>D9</f>
        <v>400</v>
      </c>
      <c r="F9" s="9">
        <f t="shared" si="0"/>
        <v>0</v>
      </c>
      <c r="G9" s="20">
        <v>400</v>
      </c>
      <c r="H9" s="6" t="s">
        <v>205</v>
      </c>
      <c r="I9" s="4"/>
    </row>
    <row r="10" spans="1:9" s="14" customFormat="1" ht="63">
      <c r="A10" s="1">
        <v>5</v>
      </c>
      <c r="B10" s="3" t="s">
        <v>27</v>
      </c>
      <c r="C10" s="6" t="s">
        <v>76</v>
      </c>
      <c r="D10" s="20">
        <v>8500</v>
      </c>
      <c r="E10" s="20">
        <f>D10-400.791</f>
        <v>8099.209</v>
      </c>
      <c r="F10" s="9">
        <f t="shared" si="0"/>
        <v>4.7151882352941215</v>
      </c>
      <c r="G10" s="20">
        <v>8099.209</v>
      </c>
      <c r="H10" s="6" t="s">
        <v>206</v>
      </c>
      <c r="I10" s="4"/>
    </row>
    <row r="11" spans="1:9" s="14" customFormat="1" ht="63">
      <c r="A11" s="1">
        <v>6</v>
      </c>
      <c r="B11" s="3" t="s">
        <v>24</v>
      </c>
      <c r="C11" s="6" t="s">
        <v>63</v>
      </c>
      <c r="D11" s="20">
        <v>4771.333</v>
      </c>
      <c r="E11" s="20">
        <f>D11-1660</f>
        <v>3111.3329999999996</v>
      </c>
      <c r="F11" s="9">
        <f t="shared" si="0"/>
        <v>34.79111602564734</v>
      </c>
      <c r="G11" s="20">
        <v>3111.3</v>
      </c>
      <c r="H11" s="11" t="s">
        <v>73</v>
      </c>
      <c r="I11" s="4"/>
    </row>
    <row r="13" spans="2:8" ht="15">
      <c r="B13" s="34"/>
      <c r="C13" s="35"/>
      <c r="D13" s="36"/>
      <c r="E13" s="36"/>
      <c r="F13" s="36"/>
      <c r="G13" s="36"/>
      <c r="H13" s="36"/>
    </row>
    <row r="14" spans="8:10" ht="15.75">
      <c r="H14" s="18"/>
      <c r="J14" s="18"/>
    </row>
    <row r="15" spans="1:3" ht="15.75">
      <c r="A15" s="18"/>
      <c r="C15" s="19"/>
    </row>
  </sheetData>
  <sheetProtection/>
  <mergeCells count="1">
    <mergeCell ref="A1:H1"/>
  </mergeCells>
  <printOptions/>
  <pageMargins left="0.2755905511811024" right="0.2" top="0.66" bottom="0.23" header="0.27" footer="0.15748031496062992"/>
  <pageSetup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tabColor indexed="26"/>
  </sheetPr>
  <dimension ref="A1:J46"/>
  <sheetViews>
    <sheetView zoomScale="70" zoomScaleNormal="70" zoomScaleSheetLayoutView="50" zoomScalePageLayoutView="0" workbookViewId="0" topLeftCell="A3">
      <pane xSplit="3" ySplit="2" topLeftCell="D39"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48" t="s">
        <v>57</v>
      </c>
      <c r="B1" s="148"/>
      <c r="C1" s="148"/>
      <c r="D1" s="148"/>
      <c r="E1" s="148"/>
      <c r="F1" s="148"/>
      <c r="G1" s="148"/>
      <c r="H1" s="148"/>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SUM(D6:D41)</f>
        <v>157915.554</v>
      </c>
      <c r="E5" s="22">
        <f>SUM(E6:E41)</f>
        <v>141124.365</v>
      </c>
      <c r="F5" s="22" t="s">
        <v>30</v>
      </c>
      <c r="G5" s="22">
        <f>SUM(G6:G41)</f>
        <v>93470</v>
      </c>
      <c r="H5" s="10"/>
      <c r="J5" s="13" t="e">
        <f>I5-#REF!</f>
        <v>#REF!</v>
      </c>
    </row>
    <row r="6" spans="1:9" s="14" customFormat="1" ht="78.75">
      <c r="A6" s="1">
        <v>1</v>
      </c>
      <c r="B6" s="3" t="s">
        <v>19</v>
      </c>
      <c r="C6" s="6" t="s">
        <v>107</v>
      </c>
      <c r="D6" s="7">
        <v>24254.365</v>
      </c>
      <c r="E6" s="7">
        <f>D6</f>
        <v>24254.365</v>
      </c>
      <c r="F6" s="9">
        <f aca="true" t="shared" si="0" ref="F6:F14">100-(E6/D6*100)</f>
        <v>0</v>
      </c>
      <c r="G6" s="20">
        <v>4500</v>
      </c>
      <c r="H6" s="6" t="s">
        <v>146</v>
      </c>
      <c r="I6" s="4"/>
    </row>
    <row r="7" spans="1:9" s="14" customFormat="1" ht="94.5">
      <c r="A7" s="1">
        <v>2</v>
      </c>
      <c r="B7" s="3" t="s">
        <v>19</v>
      </c>
      <c r="C7" s="6" t="s">
        <v>108</v>
      </c>
      <c r="D7" s="7">
        <v>1500</v>
      </c>
      <c r="E7" s="7">
        <f>D7</f>
        <v>1500</v>
      </c>
      <c r="F7" s="9">
        <f t="shared" si="0"/>
        <v>0</v>
      </c>
      <c r="G7" s="20">
        <v>1500</v>
      </c>
      <c r="H7" s="6" t="s">
        <v>147</v>
      </c>
      <c r="I7" s="4"/>
    </row>
    <row r="8" spans="1:9" s="14" customFormat="1" ht="94.5">
      <c r="A8" s="1">
        <v>3</v>
      </c>
      <c r="B8" s="3" t="s">
        <v>19</v>
      </c>
      <c r="C8" s="6" t="s">
        <v>109</v>
      </c>
      <c r="D8" s="7">
        <v>1500</v>
      </c>
      <c r="E8" s="7">
        <f>D8</f>
        <v>1500</v>
      </c>
      <c r="F8" s="9">
        <f t="shared" si="0"/>
        <v>0</v>
      </c>
      <c r="G8" s="20">
        <v>1500</v>
      </c>
      <c r="H8" s="6" t="s">
        <v>147</v>
      </c>
      <c r="I8" s="4"/>
    </row>
    <row r="9" spans="1:9" s="14" customFormat="1" ht="126">
      <c r="A9" s="1">
        <v>4</v>
      </c>
      <c r="B9" s="3" t="s">
        <v>20</v>
      </c>
      <c r="C9" s="6" t="s">
        <v>77</v>
      </c>
      <c r="D9" s="20">
        <f>5003.801+1000-214.453</f>
        <v>5789.348</v>
      </c>
      <c r="E9" s="20">
        <f>D9-34.588-4754.76</f>
        <v>1000</v>
      </c>
      <c r="F9" s="9">
        <f t="shared" si="0"/>
        <v>82.72689774392558</v>
      </c>
      <c r="G9" s="20">
        <v>1000</v>
      </c>
      <c r="H9" s="6" t="s">
        <v>148</v>
      </c>
      <c r="I9" s="7"/>
    </row>
    <row r="10" spans="1:9" s="14" customFormat="1" ht="94.5">
      <c r="A10" s="1">
        <v>5</v>
      </c>
      <c r="B10" s="3" t="s">
        <v>20</v>
      </c>
      <c r="C10" s="6" t="s">
        <v>84</v>
      </c>
      <c r="D10" s="20">
        <v>4500</v>
      </c>
      <c r="E10" s="20">
        <f>D10</f>
        <v>4500</v>
      </c>
      <c r="F10" s="9">
        <f t="shared" si="0"/>
        <v>0</v>
      </c>
      <c r="G10" s="20">
        <v>4500</v>
      </c>
      <c r="H10" s="6" t="s">
        <v>151</v>
      </c>
      <c r="I10" s="7"/>
    </row>
    <row r="11" spans="1:9" s="14" customFormat="1" ht="94.5">
      <c r="A11" s="1">
        <v>6</v>
      </c>
      <c r="B11" s="3" t="s">
        <v>20</v>
      </c>
      <c r="C11" s="6" t="s">
        <v>87</v>
      </c>
      <c r="D11" s="20">
        <v>3000</v>
      </c>
      <c r="E11" s="20">
        <f>D11</f>
        <v>3000</v>
      </c>
      <c r="F11" s="9">
        <f t="shared" si="0"/>
        <v>0</v>
      </c>
      <c r="G11" s="20">
        <v>3000</v>
      </c>
      <c r="H11" s="6" t="s">
        <v>152</v>
      </c>
      <c r="I11" s="7"/>
    </row>
    <row r="12" spans="1:9" s="14" customFormat="1" ht="94.5">
      <c r="A12" s="1">
        <v>7</v>
      </c>
      <c r="B12" s="3" t="s">
        <v>20</v>
      </c>
      <c r="C12" s="6" t="s">
        <v>88</v>
      </c>
      <c r="D12" s="20">
        <v>3500</v>
      </c>
      <c r="E12" s="20">
        <f>D12</f>
        <v>3500</v>
      </c>
      <c r="F12" s="9">
        <f t="shared" si="0"/>
        <v>0</v>
      </c>
      <c r="G12" s="20">
        <v>3500</v>
      </c>
      <c r="H12" s="6" t="s">
        <v>152</v>
      </c>
      <c r="I12" s="7"/>
    </row>
    <row r="13" spans="1:9" s="14" customFormat="1" ht="78.75">
      <c r="A13" s="1">
        <v>8</v>
      </c>
      <c r="B13" s="3" t="s">
        <v>20</v>
      </c>
      <c r="C13" s="6" t="s">
        <v>89</v>
      </c>
      <c r="D13" s="20">
        <v>3800</v>
      </c>
      <c r="E13" s="20">
        <f>D13</f>
        <v>3800</v>
      </c>
      <c r="F13" s="9">
        <f t="shared" si="0"/>
        <v>0</v>
      </c>
      <c r="G13" s="20">
        <v>3800</v>
      </c>
      <c r="H13" s="6" t="s">
        <v>153</v>
      </c>
      <c r="I13" s="7"/>
    </row>
    <row r="14" spans="1:9" s="14" customFormat="1" ht="94.5">
      <c r="A14" s="1">
        <v>9</v>
      </c>
      <c r="B14" s="3" t="s">
        <v>20</v>
      </c>
      <c r="C14" s="6" t="s">
        <v>90</v>
      </c>
      <c r="D14" s="20">
        <v>3800</v>
      </c>
      <c r="E14" s="20">
        <f>D14</f>
        <v>3800</v>
      </c>
      <c r="F14" s="9">
        <f t="shared" si="0"/>
        <v>0</v>
      </c>
      <c r="G14" s="20">
        <v>3800</v>
      </c>
      <c r="H14" s="6" t="s">
        <v>154</v>
      </c>
      <c r="I14" s="7"/>
    </row>
    <row r="15" spans="1:9" s="14" customFormat="1" ht="141.75">
      <c r="A15" s="1">
        <v>10</v>
      </c>
      <c r="B15" s="3" t="s">
        <v>80</v>
      </c>
      <c r="C15" s="15" t="s">
        <v>81</v>
      </c>
      <c r="D15" s="20">
        <v>20000</v>
      </c>
      <c r="E15" s="20">
        <v>20000</v>
      </c>
      <c r="F15" s="9">
        <f aca="true" t="shared" si="1" ref="F15:F21">100-(E15/D15*100)</f>
        <v>0</v>
      </c>
      <c r="G15" s="20">
        <v>5000</v>
      </c>
      <c r="H15" s="11" t="s">
        <v>157</v>
      </c>
      <c r="I15" s="32"/>
    </row>
    <row r="16" spans="1:9" s="14" customFormat="1" ht="78.75">
      <c r="A16" s="1">
        <v>11</v>
      </c>
      <c r="B16" s="3" t="s">
        <v>28</v>
      </c>
      <c r="C16" s="15" t="s">
        <v>129</v>
      </c>
      <c r="D16" s="20">
        <v>8000</v>
      </c>
      <c r="E16" s="20">
        <f aca="true" t="shared" si="2" ref="E16:E21">D16</f>
        <v>8000</v>
      </c>
      <c r="F16" s="9">
        <f t="shared" si="1"/>
        <v>0</v>
      </c>
      <c r="G16" s="20">
        <v>3200</v>
      </c>
      <c r="H16" s="11" t="s">
        <v>159</v>
      </c>
      <c r="I16" s="32"/>
    </row>
    <row r="17" spans="1:9" s="14" customFormat="1" ht="78.75">
      <c r="A17" s="1">
        <v>12</v>
      </c>
      <c r="B17" s="3" t="s">
        <v>23</v>
      </c>
      <c r="C17" s="6" t="s">
        <v>168</v>
      </c>
      <c r="D17" s="28">
        <v>1500</v>
      </c>
      <c r="E17" s="28">
        <f t="shared" si="2"/>
        <v>1500</v>
      </c>
      <c r="F17" s="9">
        <f t="shared" si="1"/>
        <v>0</v>
      </c>
      <c r="G17" s="20">
        <v>1500</v>
      </c>
      <c r="H17" s="6" t="s">
        <v>170</v>
      </c>
      <c r="I17" s="4"/>
    </row>
    <row r="18" spans="1:9" s="14" customFormat="1" ht="78.75">
      <c r="A18" s="1">
        <v>13</v>
      </c>
      <c r="B18" s="3" t="s">
        <v>172</v>
      </c>
      <c r="C18" s="6" t="s">
        <v>124</v>
      </c>
      <c r="D18" s="28">
        <v>1500</v>
      </c>
      <c r="E18" s="28">
        <f t="shared" si="2"/>
        <v>1500</v>
      </c>
      <c r="F18" s="29">
        <f t="shared" si="1"/>
        <v>0</v>
      </c>
      <c r="G18" s="23">
        <v>1500</v>
      </c>
      <c r="H18" s="24" t="s">
        <v>173</v>
      </c>
      <c r="I18" s="4"/>
    </row>
    <row r="19" spans="1:9" s="14" customFormat="1" ht="94.5">
      <c r="A19" s="1">
        <v>14</v>
      </c>
      <c r="B19" s="3" t="s">
        <v>86</v>
      </c>
      <c r="C19" s="6" t="s">
        <v>91</v>
      </c>
      <c r="D19" s="7">
        <v>5600</v>
      </c>
      <c r="E19" s="7">
        <f t="shared" si="2"/>
        <v>5600</v>
      </c>
      <c r="F19" s="9">
        <f t="shared" si="1"/>
        <v>0</v>
      </c>
      <c r="G19" s="20">
        <v>5600</v>
      </c>
      <c r="H19" s="6" t="s">
        <v>174</v>
      </c>
      <c r="I19" s="4"/>
    </row>
    <row r="20" spans="1:9" s="14" customFormat="1" ht="94.5">
      <c r="A20" s="1">
        <v>15</v>
      </c>
      <c r="B20" s="3" t="s">
        <v>86</v>
      </c>
      <c r="C20" s="6" t="s">
        <v>92</v>
      </c>
      <c r="D20" s="7">
        <v>4000</v>
      </c>
      <c r="E20" s="7">
        <f t="shared" si="2"/>
        <v>4000</v>
      </c>
      <c r="F20" s="9">
        <f t="shared" si="1"/>
        <v>0</v>
      </c>
      <c r="G20" s="20">
        <v>2900</v>
      </c>
      <c r="H20" s="6" t="s">
        <v>175</v>
      </c>
      <c r="I20" s="4"/>
    </row>
    <row r="21" spans="1:9" s="14" customFormat="1" ht="126">
      <c r="A21" s="1">
        <v>16</v>
      </c>
      <c r="B21" s="3" t="s">
        <v>86</v>
      </c>
      <c r="C21" s="6" t="s">
        <v>94</v>
      </c>
      <c r="D21" s="7">
        <v>1100</v>
      </c>
      <c r="E21" s="7">
        <f t="shared" si="2"/>
        <v>1100</v>
      </c>
      <c r="F21" s="9">
        <f t="shared" si="1"/>
        <v>0</v>
      </c>
      <c r="G21" s="20">
        <v>1100</v>
      </c>
      <c r="H21" s="25" t="s">
        <v>176</v>
      </c>
      <c r="I21" s="4"/>
    </row>
    <row r="22" spans="1:9" s="14" customFormat="1" ht="94.5">
      <c r="A22" s="1">
        <v>17</v>
      </c>
      <c r="B22" s="3" t="s">
        <v>2</v>
      </c>
      <c r="C22" s="6" t="s">
        <v>53</v>
      </c>
      <c r="D22" s="20">
        <v>460</v>
      </c>
      <c r="E22" s="20">
        <v>460</v>
      </c>
      <c r="F22" s="9">
        <f aca="true" t="shared" si="3" ref="F22:F41">100-(E22/D22*100)</f>
        <v>0</v>
      </c>
      <c r="G22" s="20">
        <v>460</v>
      </c>
      <c r="H22" s="6" t="s">
        <v>182</v>
      </c>
      <c r="I22" s="4"/>
    </row>
    <row r="23" spans="1:9" s="14" customFormat="1" ht="94.5">
      <c r="A23" s="1">
        <v>18</v>
      </c>
      <c r="B23" s="3" t="s">
        <v>26</v>
      </c>
      <c r="C23" s="6" t="s">
        <v>10</v>
      </c>
      <c r="D23" s="20">
        <v>1600</v>
      </c>
      <c r="E23" s="20">
        <v>1600</v>
      </c>
      <c r="F23" s="9">
        <f t="shared" si="3"/>
        <v>0</v>
      </c>
      <c r="G23" s="20">
        <v>1600</v>
      </c>
      <c r="H23" s="6" t="s">
        <v>184</v>
      </c>
      <c r="I23" s="4"/>
    </row>
    <row r="24" spans="1:9" s="14" customFormat="1" ht="94.5">
      <c r="A24" s="1">
        <v>19</v>
      </c>
      <c r="B24" s="3" t="s">
        <v>26</v>
      </c>
      <c r="C24" s="15" t="s">
        <v>128</v>
      </c>
      <c r="D24" s="20">
        <v>8500</v>
      </c>
      <c r="E24" s="20">
        <f>D24</f>
        <v>8500</v>
      </c>
      <c r="F24" s="9">
        <f t="shared" si="3"/>
        <v>0</v>
      </c>
      <c r="G24" s="20">
        <v>4000</v>
      </c>
      <c r="H24" s="6" t="s">
        <v>185</v>
      </c>
      <c r="I24" s="4"/>
    </row>
    <row r="25" spans="1:9" s="14" customFormat="1" ht="78.75">
      <c r="A25" s="1">
        <v>20</v>
      </c>
      <c r="B25" s="3" t="s">
        <v>26</v>
      </c>
      <c r="C25" s="6" t="s">
        <v>130</v>
      </c>
      <c r="D25" s="20">
        <v>2300</v>
      </c>
      <c r="E25" s="20">
        <f>D25</f>
        <v>2300</v>
      </c>
      <c r="F25" s="9">
        <f>100-(E25/D25*100)</f>
        <v>0</v>
      </c>
      <c r="G25" s="20">
        <v>2300</v>
      </c>
      <c r="H25" s="6" t="s">
        <v>186</v>
      </c>
      <c r="I25" s="4"/>
    </row>
    <row r="26" spans="1:9" s="14" customFormat="1" ht="78.75">
      <c r="A26" s="1">
        <v>21</v>
      </c>
      <c r="B26" s="3" t="s">
        <v>26</v>
      </c>
      <c r="C26" s="6" t="s">
        <v>142</v>
      </c>
      <c r="D26" s="20">
        <v>3700</v>
      </c>
      <c r="E26" s="20">
        <f>D26</f>
        <v>3700</v>
      </c>
      <c r="F26" s="9">
        <f>100-(E26/D26*100)</f>
        <v>0</v>
      </c>
      <c r="G26" s="20">
        <v>3700</v>
      </c>
      <c r="H26" s="6" t="s">
        <v>188</v>
      </c>
      <c r="I26" s="4"/>
    </row>
    <row r="27" spans="1:9" s="14" customFormat="1" ht="63">
      <c r="A27" s="1">
        <v>22</v>
      </c>
      <c r="B27" s="3" t="s">
        <v>37</v>
      </c>
      <c r="C27" s="6" t="s">
        <v>36</v>
      </c>
      <c r="D27" s="20">
        <v>2060</v>
      </c>
      <c r="E27" s="20">
        <f>D27</f>
        <v>2060</v>
      </c>
      <c r="F27" s="9">
        <f t="shared" si="3"/>
        <v>0</v>
      </c>
      <c r="G27" s="20">
        <v>2060</v>
      </c>
      <c r="H27" s="6" t="s">
        <v>192</v>
      </c>
      <c r="I27" s="18"/>
    </row>
    <row r="28" spans="1:9" s="14" customFormat="1" ht="78.75">
      <c r="A28" s="1">
        <v>23</v>
      </c>
      <c r="B28" s="3" t="s">
        <v>25</v>
      </c>
      <c r="C28" s="6" t="s">
        <v>5</v>
      </c>
      <c r="D28" s="7">
        <f>2982.054+1550-70.317</f>
        <v>4461.737</v>
      </c>
      <c r="E28" s="7">
        <f>D28-2911.737</f>
        <v>1550</v>
      </c>
      <c r="F28" s="9">
        <f t="shared" si="3"/>
        <v>65.26016661224094</v>
      </c>
      <c r="G28" s="20">
        <v>1550</v>
      </c>
      <c r="H28" s="6" t="s">
        <v>193</v>
      </c>
      <c r="I28" s="4" t="s">
        <v>4</v>
      </c>
    </row>
    <row r="29" spans="1:9" s="14" customFormat="1" ht="94.5">
      <c r="A29" s="1">
        <v>24</v>
      </c>
      <c r="B29" s="3" t="s">
        <v>25</v>
      </c>
      <c r="C29" s="6" t="s">
        <v>97</v>
      </c>
      <c r="D29" s="7">
        <v>6500</v>
      </c>
      <c r="E29" s="7">
        <f>D29</f>
        <v>6500</v>
      </c>
      <c r="F29" s="9">
        <f t="shared" si="3"/>
        <v>0</v>
      </c>
      <c r="G29" s="20">
        <v>4000</v>
      </c>
      <c r="H29" s="6" t="s">
        <v>194</v>
      </c>
      <c r="I29" s="4"/>
    </row>
    <row r="30" spans="1:9" s="14" customFormat="1" ht="78.75">
      <c r="A30" s="1">
        <v>25</v>
      </c>
      <c r="B30" s="3" t="s">
        <v>25</v>
      </c>
      <c r="C30" s="6" t="s">
        <v>100</v>
      </c>
      <c r="D30" s="7">
        <v>1900</v>
      </c>
      <c r="E30" s="7">
        <f aca="true" t="shared" si="4" ref="E30:E37">D30</f>
        <v>1900</v>
      </c>
      <c r="F30" s="9">
        <f t="shared" si="3"/>
        <v>0</v>
      </c>
      <c r="G30" s="20">
        <v>1900</v>
      </c>
      <c r="H30" s="6" t="s">
        <v>195</v>
      </c>
      <c r="I30" s="4"/>
    </row>
    <row r="31" spans="1:9" s="14" customFormat="1" ht="78.75">
      <c r="A31" s="1">
        <v>26</v>
      </c>
      <c r="B31" s="3" t="s">
        <v>25</v>
      </c>
      <c r="C31" s="33" t="s">
        <v>99</v>
      </c>
      <c r="D31" s="7">
        <v>2200</v>
      </c>
      <c r="E31" s="7">
        <f t="shared" si="4"/>
        <v>2200</v>
      </c>
      <c r="F31" s="9">
        <f t="shared" si="3"/>
        <v>0</v>
      </c>
      <c r="G31" s="20">
        <v>2200</v>
      </c>
      <c r="H31" s="6" t="s">
        <v>196</v>
      </c>
      <c r="I31" s="4"/>
    </row>
    <row r="32" spans="1:9" s="14" customFormat="1" ht="78.75">
      <c r="A32" s="1">
        <v>27</v>
      </c>
      <c r="B32" s="3" t="s">
        <v>25</v>
      </c>
      <c r="C32" s="6" t="s">
        <v>98</v>
      </c>
      <c r="D32" s="7">
        <v>1600</v>
      </c>
      <c r="E32" s="7">
        <f>D32</f>
        <v>1600</v>
      </c>
      <c r="F32" s="9">
        <f>100-(E32/D32*100)</f>
        <v>0</v>
      </c>
      <c r="G32" s="20">
        <v>1600</v>
      </c>
      <c r="H32" s="6" t="s">
        <v>197</v>
      </c>
      <c r="I32" s="4"/>
    </row>
    <row r="33" spans="1:9" s="14" customFormat="1" ht="63">
      <c r="A33" s="1">
        <v>28</v>
      </c>
      <c r="B33" s="3" t="s">
        <v>25</v>
      </c>
      <c r="C33" s="6" t="s">
        <v>101</v>
      </c>
      <c r="D33" s="7">
        <v>1490</v>
      </c>
      <c r="E33" s="7">
        <f t="shared" si="4"/>
        <v>1490</v>
      </c>
      <c r="F33" s="9">
        <f t="shared" si="3"/>
        <v>0</v>
      </c>
      <c r="G33" s="20">
        <v>1490</v>
      </c>
      <c r="H33" s="6" t="s">
        <v>198</v>
      </c>
      <c r="I33" s="4"/>
    </row>
    <row r="34" spans="1:9" s="14" customFormat="1" ht="78.75">
      <c r="A34" s="1">
        <v>29</v>
      </c>
      <c r="B34" s="3" t="s">
        <v>25</v>
      </c>
      <c r="C34" s="6" t="s">
        <v>102</v>
      </c>
      <c r="D34" s="7">
        <v>1100</v>
      </c>
      <c r="E34" s="7">
        <f t="shared" si="4"/>
        <v>1100</v>
      </c>
      <c r="F34" s="9">
        <f t="shared" si="3"/>
        <v>0</v>
      </c>
      <c r="G34" s="20">
        <v>1100</v>
      </c>
      <c r="H34" s="6" t="s">
        <v>199</v>
      </c>
      <c r="I34" s="4"/>
    </row>
    <row r="35" spans="1:9" s="14" customFormat="1" ht="63">
      <c r="A35" s="1">
        <v>30</v>
      </c>
      <c r="B35" s="3" t="s">
        <v>25</v>
      </c>
      <c r="C35" s="6" t="s">
        <v>105</v>
      </c>
      <c r="D35" s="7">
        <v>1190</v>
      </c>
      <c r="E35" s="7">
        <f t="shared" si="4"/>
        <v>1190</v>
      </c>
      <c r="F35" s="9">
        <f t="shared" si="3"/>
        <v>0</v>
      </c>
      <c r="G35" s="20">
        <v>1190</v>
      </c>
      <c r="H35" s="6" t="s">
        <v>198</v>
      </c>
      <c r="I35" s="4"/>
    </row>
    <row r="36" spans="1:9" s="14" customFormat="1" ht="63">
      <c r="A36" s="1">
        <v>31</v>
      </c>
      <c r="B36" s="3" t="s">
        <v>25</v>
      </c>
      <c r="C36" s="6" t="s">
        <v>104</v>
      </c>
      <c r="D36" s="7">
        <v>1620</v>
      </c>
      <c r="E36" s="7">
        <f t="shared" si="4"/>
        <v>1620</v>
      </c>
      <c r="F36" s="9">
        <f t="shared" si="3"/>
        <v>0</v>
      </c>
      <c r="G36" s="20">
        <v>1620</v>
      </c>
      <c r="H36" s="6" t="s">
        <v>200</v>
      </c>
      <c r="I36" s="4"/>
    </row>
    <row r="37" spans="1:9" s="14" customFormat="1" ht="78.75">
      <c r="A37" s="1">
        <v>32</v>
      </c>
      <c r="B37" s="3" t="s">
        <v>25</v>
      </c>
      <c r="C37" s="33" t="s">
        <v>103</v>
      </c>
      <c r="D37" s="7">
        <v>2000</v>
      </c>
      <c r="E37" s="7">
        <f t="shared" si="4"/>
        <v>2000</v>
      </c>
      <c r="F37" s="9">
        <f t="shared" si="3"/>
        <v>0</v>
      </c>
      <c r="G37" s="20">
        <v>2000</v>
      </c>
      <c r="H37" s="6" t="s">
        <v>201</v>
      </c>
      <c r="I37" s="4"/>
    </row>
    <row r="38" spans="1:9" s="14" customFormat="1" ht="94.5">
      <c r="A38" s="1">
        <v>33</v>
      </c>
      <c r="B38" s="3" t="s">
        <v>6</v>
      </c>
      <c r="C38" s="6" t="s">
        <v>8</v>
      </c>
      <c r="D38" s="7">
        <v>1600</v>
      </c>
      <c r="E38" s="7">
        <v>1600</v>
      </c>
      <c r="F38" s="9">
        <f t="shared" si="3"/>
        <v>0</v>
      </c>
      <c r="G38" s="20">
        <v>1600</v>
      </c>
      <c r="H38" s="6" t="s">
        <v>203</v>
      </c>
      <c r="I38" s="4"/>
    </row>
    <row r="39" spans="1:9" s="14" customFormat="1" ht="110.25">
      <c r="A39" s="1">
        <v>34</v>
      </c>
      <c r="B39" s="3" t="s">
        <v>27</v>
      </c>
      <c r="C39" s="6" t="s">
        <v>0</v>
      </c>
      <c r="D39" s="20">
        <v>3800</v>
      </c>
      <c r="E39" s="20">
        <f>D39</f>
        <v>3800</v>
      </c>
      <c r="F39" s="9">
        <f t="shared" si="3"/>
        <v>0</v>
      </c>
      <c r="G39" s="20">
        <v>3800</v>
      </c>
      <c r="H39" s="6" t="s">
        <v>204</v>
      </c>
      <c r="I39" s="4"/>
    </row>
    <row r="40" spans="1:9" s="14" customFormat="1" ht="110.25">
      <c r="A40" s="1">
        <v>35</v>
      </c>
      <c r="B40" s="3" t="s">
        <v>27</v>
      </c>
      <c r="C40" s="6" t="s">
        <v>1</v>
      </c>
      <c r="D40" s="20">
        <v>400</v>
      </c>
      <c r="E40" s="20">
        <f>D40</f>
        <v>400</v>
      </c>
      <c r="F40" s="9">
        <f t="shared" si="3"/>
        <v>0</v>
      </c>
      <c r="G40" s="20">
        <v>400</v>
      </c>
      <c r="H40" s="6" t="s">
        <v>205</v>
      </c>
      <c r="I40" s="4"/>
    </row>
    <row r="41" spans="1:9" s="14" customFormat="1" ht="94.5">
      <c r="A41" s="1">
        <v>36</v>
      </c>
      <c r="B41" s="3" t="s">
        <v>218</v>
      </c>
      <c r="C41" s="6" t="s">
        <v>114</v>
      </c>
      <c r="D41" s="20">
        <f>9459.785+7000-369.681</f>
        <v>16090.104</v>
      </c>
      <c r="E41" s="20">
        <f>D41-9090.104</f>
        <v>7000</v>
      </c>
      <c r="F41" s="9">
        <f t="shared" si="3"/>
        <v>56.49499841641794</v>
      </c>
      <c r="G41" s="20">
        <v>7000</v>
      </c>
      <c r="H41" s="6" t="s">
        <v>207</v>
      </c>
      <c r="I41" s="4"/>
    </row>
    <row r="44" spans="2:10" ht="40.5" customHeight="1">
      <c r="B44" s="149" t="s">
        <v>39</v>
      </c>
      <c r="C44" s="149"/>
      <c r="D44" s="149"/>
      <c r="E44" s="149"/>
      <c r="H44" s="18" t="s">
        <v>31</v>
      </c>
      <c r="J44" s="18"/>
    </row>
    <row r="45" spans="8:10" ht="15.75">
      <c r="H45" s="18"/>
      <c r="J45" s="18"/>
    </row>
    <row r="46" spans="1:3" ht="15.75">
      <c r="A46" s="18"/>
      <c r="C46" s="19" t="s">
        <v>32</v>
      </c>
    </row>
  </sheetData>
  <sheetProtection/>
  <mergeCells count="2">
    <mergeCell ref="A1:H1"/>
    <mergeCell ref="B44:E44"/>
  </mergeCells>
  <printOptions/>
  <pageMargins left="0.2755905511811024" right="0.2" top="0.3" bottom="0.23" header="0.27" footer="0.15748031496062992"/>
  <pageSetup horizontalDpi="600" verticalDpi="600" orientation="landscape" paperSize="9" scale="69" r:id="rId1"/>
</worksheet>
</file>

<file path=xl/worksheets/sheet20.xml><?xml version="1.0" encoding="utf-8"?>
<worksheet xmlns="http://schemas.openxmlformats.org/spreadsheetml/2006/main" xmlns:r="http://schemas.openxmlformats.org/officeDocument/2006/relationships">
  <sheetPr>
    <tabColor rgb="FFFFFF00"/>
  </sheetPr>
  <dimension ref="A1:J25"/>
  <sheetViews>
    <sheetView zoomScale="7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48" t="s">
        <v>57</v>
      </c>
      <c r="B1" s="148"/>
      <c r="C1" s="148"/>
      <c r="D1" s="148"/>
      <c r="E1" s="148"/>
      <c r="F1" s="148"/>
      <c r="G1" s="148"/>
      <c r="H1" s="148"/>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SUM(D6:D20)</f>
        <v>39541.949</v>
      </c>
      <c r="E5" s="22">
        <f>SUM(E6:E20)</f>
        <v>16472.496</v>
      </c>
      <c r="F5" s="22" t="s">
        <v>30</v>
      </c>
      <c r="G5" s="22">
        <f>SUM(G6:G20)</f>
        <v>16472.496</v>
      </c>
      <c r="H5" s="10"/>
      <c r="J5" s="13" t="e">
        <f>I5-#REF!</f>
        <v>#REF!</v>
      </c>
    </row>
    <row r="6" spans="1:9" s="14" customFormat="1" ht="47.25">
      <c r="A6" s="1">
        <v>1</v>
      </c>
      <c r="B6" s="3" t="s">
        <v>23</v>
      </c>
      <c r="C6" s="15" t="s">
        <v>35</v>
      </c>
      <c r="D6" s="20">
        <v>14260.633</v>
      </c>
      <c r="E6" s="20">
        <f>D6-21.353-13957.996</f>
        <v>281.28400000000147</v>
      </c>
      <c r="F6" s="9">
        <f aca="true" t="shared" si="0" ref="F6:F11">100-(E6/D6*100)</f>
        <v>98.02754898748182</v>
      </c>
      <c r="G6" s="20">
        <v>281.284</v>
      </c>
      <c r="H6" s="11" t="s">
        <v>38</v>
      </c>
      <c r="I6" s="4"/>
    </row>
    <row r="7" spans="1:9" s="14" customFormat="1" ht="78.75">
      <c r="A7" s="1">
        <v>2</v>
      </c>
      <c r="B7" s="3" t="s">
        <v>23</v>
      </c>
      <c r="C7" s="6" t="s">
        <v>55</v>
      </c>
      <c r="D7" s="23">
        <v>191.212</v>
      </c>
      <c r="E7" s="23">
        <v>191.212</v>
      </c>
      <c r="F7" s="9">
        <f t="shared" si="0"/>
        <v>0</v>
      </c>
      <c r="G7" s="20">
        <v>191.212</v>
      </c>
      <c r="H7" s="6" t="s">
        <v>165</v>
      </c>
      <c r="I7" s="4"/>
    </row>
    <row r="8" spans="1:9" s="14" customFormat="1" ht="110.25">
      <c r="A8" s="1">
        <v>3</v>
      </c>
      <c r="B8" s="3" t="s">
        <v>23</v>
      </c>
      <c r="C8" s="6" t="s">
        <v>118</v>
      </c>
      <c r="D8" s="28">
        <v>700</v>
      </c>
      <c r="E8" s="28">
        <f>D8</f>
        <v>700</v>
      </c>
      <c r="F8" s="9">
        <f t="shared" si="0"/>
        <v>0</v>
      </c>
      <c r="G8" s="20">
        <v>700</v>
      </c>
      <c r="H8" s="24" t="s">
        <v>167</v>
      </c>
      <c r="I8" s="4"/>
    </row>
    <row r="9" spans="1:9" s="14" customFormat="1" ht="78.75">
      <c r="A9" s="1">
        <v>4</v>
      </c>
      <c r="B9" s="3" t="s">
        <v>23</v>
      </c>
      <c r="C9" s="6" t="s">
        <v>168</v>
      </c>
      <c r="D9" s="28">
        <v>1500</v>
      </c>
      <c r="E9" s="28">
        <f>D9</f>
        <v>1500</v>
      </c>
      <c r="F9" s="9">
        <f t="shared" si="0"/>
        <v>0</v>
      </c>
      <c r="G9" s="20">
        <v>1500</v>
      </c>
      <c r="H9" s="6" t="s">
        <v>170</v>
      </c>
      <c r="I9" s="4"/>
    </row>
    <row r="10" spans="1:9" s="14" customFormat="1" ht="78.75">
      <c r="A10" s="1">
        <v>5</v>
      </c>
      <c r="B10" s="3" t="s">
        <v>23</v>
      </c>
      <c r="C10" s="6" t="s">
        <v>169</v>
      </c>
      <c r="D10" s="28">
        <v>450</v>
      </c>
      <c r="E10" s="28">
        <f>D10</f>
        <v>450</v>
      </c>
      <c r="F10" s="29">
        <f t="shared" si="0"/>
        <v>0</v>
      </c>
      <c r="G10" s="23">
        <v>450</v>
      </c>
      <c r="H10" s="24" t="s">
        <v>167</v>
      </c>
      <c r="I10" s="4"/>
    </row>
    <row r="11" spans="1:9" s="14" customFormat="1" ht="78.75">
      <c r="A11" s="1">
        <v>6</v>
      </c>
      <c r="B11" s="3" t="s">
        <v>172</v>
      </c>
      <c r="C11" s="6" t="s">
        <v>124</v>
      </c>
      <c r="D11" s="28">
        <v>1500</v>
      </c>
      <c r="E11" s="28">
        <f>D11</f>
        <v>1500</v>
      </c>
      <c r="F11" s="29">
        <f t="shared" si="0"/>
        <v>0</v>
      </c>
      <c r="G11" s="23">
        <v>1500</v>
      </c>
      <c r="H11" s="24" t="s">
        <v>173</v>
      </c>
      <c r="I11" s="4"/>
    </row>
    <row r="12" spans="1:9" s="14" customFormat="1" ht="94.5">
      <c r="A12" s="1">
        <v>7</v>
      </c>
      <c r="B12" s="3" t="s">
        <v>6</v>
      </c>
      <c r="C12" s="6" t="s">
        <v>8</v>
      </c>
      <c r="D12" s="7">
        <v>1600</v>
      </c>
      <c r="E12" s="7">
        <v>1600</v>
      </c>
      <c r="F12" s="9">
        <f aca="true" t="shared" si="1" ref="F12:F20">100-(E12/D12*100)</f>
        <v>0</v>
      </c>
      <c r="G12" s="20">
        <v>1600</v>
      </c>
      <c r="H12" s="6" t="s">
        <v>203</v>
      </c>
      <c r="I12" s="4"/>
    </row>
    <row r="13" spans="1:9" s="14" customFormat="1" ht="94.5">
      <c r="A13" s="1">
        <v>8</v>
      </c>
      <c r="B13" s="3" t="s">
        <v>6</v>
      </c>
      <c r="C13" s="6" t="s">
        <v>110</v>
      </c>
      <c r="D13" s="7">
        <v>200</v>
      </c>
      <c r="E13" s="7">
        <f>D13</f>
        <v>200</v>
      </c>
      <c r="F13" s="9">
        <f t="shared" si="1"/>
        <v>0</v>
      </c>
      <c r="G13" s="20">
        <v>200</v>
      </c>
      <c r="H13" s="24" t="s">
        <v>202</v>
      </c>
      <c r="I13" s="4"/>
    </row>
    <row r="14" spans="1:9" s="14" customFormat="1" ht="47.25">
      <c r="A14" s="1">
        <v>9</v>
      </c>
      <c r="B14" s="3" t="s">
        <v>6</v>
      </c>
      <c r="C14" s="6" t="s">
        <v>125</v>
      </c>
      <c r="D14" s="7">
        <v>100</v>
      </c>
      <c r="E14" s="7">
        <f>D14</f>
        <v>100</v>
      </c>
      <c r="F14" s="9">
        <f t="shared" si="1"/>
        <v>0</v>
      </c>
      <c r="G14" s="20">
        <v>100</v>
      </c>
      <c r="H14" s="24" t="s">
        <v>202</v>
      </c>
      <c r="I14" s="4"/>
    </row>
    <row r="15" spans="1:9" s="14" customFormat="1" ht="78.75">
      <c r="A15" s="1">
        <v>10</v>
      </c>
      <c r="B15" s="3" t="s">
        <v>120</v>
      </c>
      <c r="C15" s="6" t="s">
        <v>123</v>
      </c>
      <c r="D15" s="7">
        <v>650</v>
      </c>
      <c r="E15" s="7">
        <f>D15</f>
        <v>650</v>
      </c>
      <c r="F15" s="9">
        <f t="shared" si="1"/>
        <v>0</v>
      </c>
      <c r="G15" s="20">
        <v>650</v>
      </c>
      <c r="H15" s="24" t="s">
        <v>202</v>
      </c>
      <c r="I15" s="4"/>
    </row>
    <row r="16" spans="1:9" s="14" customFormat="1" ht="94.5">
      <c r="A16" s="1">
        <v>11</v>
      </c>
      <c r="B16" s="3" t="s">
        <v>120</v>
      </c>
      <c r="C16" s="6" t="s">
        <v>122</v>
      </c>
      <c r="D16" s="7">
        <v>700</v>
      </c>
      <c r="E16" s="7">
        <f>D16</f>
        <v>700</v>
      </c>
      <c r="F16" s="9">
        <f t="shared" si="1"/>
        <v>0</v>
      </c>
      <c r="G16" s="20">
        <v>700</v>
      </c>
      <c r="H16" s="24" t="s">
        <v>202</v>
      </c>
      <c r="I16" s="4"/>
    </row>
    <row r="17" spans="1:9" s="14" customFormat="1" ht="78.75">
      <c r="A17" s="1">
        <v>12</v>
      </c>
      <c r="B17" s="3" t="s">
        <v>117</v>
      </c>
      <c r="C17" s="6" t="s">
        <v>119</v>
      </c>
      <c r="D17" s="7">
        <v>400</v>
      </c>
      <c r="E17" s="7">
        <f>D17</f>
        <v>400</v>
      </c>
      <c r="F17" s="9">
        <f t="shared" si="1"/>
        <v>0</v>
      </c>
      <c r="G17" s="20">
        <v>400</v>
      </c>
      <c r="H17" s="24" t="s">
        <v>202</v>
      </c>
      <c r="I17" s="4"/>
    </row>
    <row r="18" spans="1:9" s="14" customFormat="1" ht="94.5">
      <c r="A18" s="1">
        <v>13</v>
      </c>
      <c r="B18" s="3" t="s">
        <v>218</v>
      </c>
      <c r="C18" s="6" t="s">
        <v>114</v>
      </c>
      <c r="D18" s="20">
        <f>9459.785+7000-369.681</f>
        <v>16090.104</v>
      </c>
      <c r="E18" s="20">
        <f>D18-9090.104</f>
        <v>7000</v>
      </c>
      <c r="F18" s="9">
        <f t="shared" si="1"/>
        <v>56.49499841641794</v>
      </c>
      <c r="G18" s="20">
        <v>7000</v>
      </c>
      <c r="H18" s="6" t="s">
        <v>207</v>
      </c>
      <c r="I18" s="4"/>
    </row>
    <row r="19" spans="1:9" s="14" customFormat="1" ht="94.5">
      <c r="A19" s="1">
        <v>14</v>
      </c>
      <c r="B19" s="3" t="s">
        <v>218</v>
      </c>
      <c r="C19" s="6" t="s">
        <v>116</v>
      </c>
      <c r="D19" s="20">
        <v>600</v>
      </c>
      <c r="E19" s="20">
        <f>D19</f>
        <v>600</v>
      </c>
      <c r="F19" s="9">
        <f t="shared" si="1"/>
        <v>0</v>
      </c>
      <c r="G19" s="20">
        <v>600</v>
      </c>
      <c r="H19" s="6" t="s">
        <v>208</v>
      </c>
      <c r="I19" s="4"/>
    </row>
    <row r="20" spans="1:9" s="14" customFormat="1" ht="94.5">
      <c r="A20" s="1">
        <v>15</v>
      </c>
      <c r="B20" s="3" t="s">
        <v>218</v>
      </c>
      <c r="C20" s="6" t="s">
        <v>115</v>
      </c>
      <c r="D20" s="20">
        <v>600</v>
      </c>
      <c r="E20" s="20">
        <f>D20</f>
        <v>600</v>
      </c>
      <c r="F20" s="9">
        <f t="shared" si="1"/>
        <v>0</v>
      </c>
      <c r="G20" s="20">
        <v>600</v>
      </c>
      <c r="H20" s="6" t="s">
        <v>209</v>
      </c>
      <c r="I20" s="4"/>
    </row>
    <row r="23" spans="2:10" ht="40.5" customHeight="1">
      <c r="B23" s="149" t="s">
        <v>39</v>
      </c>
      <c r="C23" s="149"/>
      <c r="D23" s="149"/>
      <c r="E23" s="149"/>
      <c r="H23" s="18" t="s">
        <v>31</v>
      </c>
      <c r="J23" s="18"/>
    </row>
    <row r="24" spans="8:10" ht="15.75">
      <c r="H24" s="18"/>
      <c r="J24" s="18"/>
    </row>
    <row r="25" spans="1:3" ht="15.75">
      <c r="A25" s="18"/>
      <c r="C25" s="19"/>
    </row>
  </sheetData>
  <sheetProtection/>
  <mergeCells count="2">
    <mergeCell ref="A1:H1"/>
    <mergeCell ref="B23:E23"/>
  </mergeCells>
  <printOptions/>
  <pageMargins left="0.2755905511811024" right="0.2" top="0.3" bottom="0.23" header="0.27" footer="0.15748031496062992"/>
  <pageSetup horizontalDpi="600" verticalDpi="600" orientation="landscape" paperSize="9" scale="69" r:id="rId1"/>
</worksheet>
</file>

<file path=xl/worksheets/sheet21.xml><?xml version="1.0" encoding="utf-8"?>
<worksheet xmlns="http://schemas.openxmlformats.org/spreadsheetml/2006/main" xmlns:r="http://schemas.openxmlformats.org/officeDocument/2006/relationships">
  <sheetPr>
    <tabColor rgb="FFC00000"/>
  </sheetPr>
  <dimension ref="A1:J20"/>
  <sheetViews>
    <sheetView zoomScale="70" zoomScaleNormal="70" zoomScaleSheetLayoutView="50" zoomScalePageLayoutView="0" workbookViewId="0" topLeftCell="A3">
      <pane xSplit="3" ySplit="2" topLeftCell="D9"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5.875" style="4" customWidth="1"/>
    <col min="2" max="2" width="0.37109375" style="17" hidden="1" customWidth="1"/>
    <col min="3" max="3" width="47.625" style="8" customWidth="1"/>
    <col min="4" max="4" width="13.375" style="4" customWidth="1"/>
    <col min="5" max="5" width="13.00390625" style="4" customWidth="1"/>
    <col min="6" max="6" width="15.625" style="4" customWidth="1"/>
    <col min="7" max="7" width="15.625" style="44" customWidth="1"/>
    <col min="8" max="8" width="86.625" style="4" customWidth="1"/>
    <col min="9" max="9" width="11.625" style="4" customWidth="1"/>
    <col min="10" max="10" width="13.125" style="4" customWidth="1"/>
    <col min="11" max="16384" width="9.125" style="4" customWidth="1"/>
  </cols>
  <sheetData>
    <row r="1" spans="1:9" ht="53.25" customHeight="1">
      <c r="A1" s="148" t="s">
        <v>248</v>
      </c>
      <c r="B1" s="148"/>
      <c r="C1" s="148"/>
      <c r="D1" s="148"/>
      <c r="E1" s="148"/>
      <c r="F1" s="148"/>
      <c r="G1" s="148"/>
      <c r="H1" s="148"/>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2</v>
      </c>
      <c r="D4" s="3">
        <v>3</v>
      </c>
      <c r="E4" s="3">
        <v>4</v>
      </c>
      <c r="F4" s="3">
        <v>5</v>
      </c>
      <c r="G4" s="43">
        <v>6</v>
      </c>
      <c r="H4" s="3">
        <v>8</v>
      </c>
    </row>
    <row r="5" spans="1:10" ht="30.75" customHeight="1">
      <c r="A5" s="21"/>
      <c r="B5" s="21"/>
      <c r="C5" s="3" t="s">
        <v>13</v>
      </c>
      <c r="D5" s="22">
        <f>SUM(D6:D15)</f>
        <v>87087.514</v>
      </c>
      <c r="E5" s="22">
        <f>SUM(E6:E15)</f>
        <v>63820.885</v>
      </c>
      <c r="F5" s="22" t="s">
        <v>30</v>
      </c>
      <c r="G5" s="40">
        <f>SUM(G6:G15)</f>
        <v>30237.038</v>
      </c>
      <c r="H5" s="40" t="s">
        <v>30</v>
      </c>
      <c r="I5" s="38">
        <f>54459.3-G5</f>
        <v>24222.262000000002</v>
      </c>
      <c r="J5" s="13"/>
    </row>
    <row r="6" spans="1:9" s="14" customFormat="1" ht="157.5">
      <c r="A6" s="1">
        <v>1</v>
      </c>
      <c r="B6" s="3" t="s">
        <v>20</v>
      </c>
      <c r="C6" s="15" t="s">
        <v>34</v>
      </c>
      <c r="D6" s="20">
        <v>27620.08</v>
      </c>
      <c r="E6" s="20">
        <f>D6-79.166-2972.875</f>
        <v>24568.039</v>
      </c>
      <c r="F6" s="9">
        <f aca="true" t="shared" si="0" ref="F6:F15">100-(E6/D6*100)</f>
        <v>11.050080231483761</v>
      </c>
      <c r="G6" s="23">
        <f>8497.375-5000-1247.677</f>
        <v>2249.6980000000003</v>
      </c>
      <c r="H6" s="6" t="s">
        <v>228</v>
      </c>
      <c r="I6" s="7"/>
    </row>
    <row r="7" spans="1:9" s="14" customFormat="1" ht="157.5">
      <c r="A7" s="1">
        <v>2</v>
      </c>
      <c r="B7" s="3" t="s">
        <v>20</v>
      </c>
      <c r="C7" s="6" t="s">
        <v>21</v>
      </c>
      <c r="D7" s="20">
        <v>7706.785</v>
      </c>
      <c r="E7" s="20">
        <f>D7-95.619-4404.381</f>
        <v>3206.785</v>
      </c>
      <c r="F7" s="9">
        <f t="shared" si="0"/>
        <v>58.390106899310155</v>
      </c>
      <c r="G7" s="23">
        <v>3206.785</v>
      </c>
      <c r="H7" s="6" t="s">
        <v>48</v>
      </c>
      <c r="I7" s="7"/>
    </row>
    <row r="8" spans="1:9" s="14" customFormat="1" ht="157.5">
      <c r="A8" s="1">
        <v>3</v>
      </c>
      <c r="B8" s="3" t="s">
        <v>20</v>
      </c>
      <c r="C8" s="6" t="s">
        <v>85</v>
      </c>
      <c r="D8" s="20">
        <v>2865.725</v>
      </c>
      <c r="E8" s="20">
        <f>D8-88.6</f>
        <v>2777.125</v>
      </c>
      <c r="F8" s="9">
        <f t="shared" si="0"/>
        <v>3.0917132662764146</v>
      </c>
      <c r="G8" s="23">
        <v>2777.125</v>
      </c>
      <c r="H8" s="6" t="s">
        <v>240</v>
      </c>
      <c r="I8" s="7"/>
    </row>
    <row r="9" spans="1:9" s="14" customFormat="1" ht="157.5">
      <c r="A9" s="1">
        <v>4</v>
      </c>
      <c r="B9" s="3" t="s">
        <v>28</v>
      </c>
      <c r="C9" s="6" t="s">
        <v>62</v>
      </c>
      <c r="D9" s="20">
        <v>14117.909</v>
      </c>
      <c r="E9" s="20">
        <f>D9-2770</f>
        <v>11347.909</v>
      </c>
      <c r="F9" s="9">
        <f t="shared" si="0"/>
        <v>19.62046929187602</v>
      </c>
      <c r="G9" s="23">
        <f>4000-1000</f>
        <v>3000</v>
      </c>
      <c r="H9" s="6" t="s">
        <v>229</v>
      </c>
      <c r="I9" s="7"/>
    </row>
    <row r="10" spans="1:9" s="14" customFormat="1" ht="157.5">
      <c r="A10" s="1">
        <v>5</v>
      </c>
      <c r="B10" s="3" t="s">
        <v>28</v>
      </c>
      <c r="C10" s="15" t="s">
        <v>249</v>
      </c>
      <c r="D10" s="23">
        <v>88.383</v>
      </c>
      <c r="E10" s="23">
        <f>D10-5.32</f>
        <v>83.06299999999999</v>
      </c>
      <c r="F10" s="9">
        <f t="shared" si="0"/>
        <v>6.019257096953041</v>
      </c>
      <c r="G10" s="23">
        <v>83.063</v>
      </c>
      <c r="H10" s="11" t="s">
        <v>220</v>
      </c>
      <c r="I10" s="32"/>
    </row>
    <row r="11" spans="1:9" s="14" customFormat="1" ht="157.5">
      <c r="A11" s="1">
        <v>6</v>
      </c>
      <c r="B11" s="3" t="s">
        <v>40</v>
      </c>
      <c r="C11" s="6" t="s">
        <v>230</v>
      </c>
      <c r="D11" s="7">
        <v>6356.36</v>
      </c>
      <c r="E11" s="7">
        <f>D11-238.796</f>
        <v>6117.563999999999</v>
      </c>
      <c r="F11" s="9">
        <f t="shared" si="0"/>
        <v>3.756804208698057</v>
      </c>
      <c r="G11" s="23">
        <v>3200</v>
      </c>
      <c r="H11" s="6" t="s">
        <v>231</v>
      </c>
      <c r="I11" s="4"/>
    </row>
    <row r="12" spans="1:9" s="14" customFormat="1" ht="157.5">
      <c r="A12" s="1">
        <v>7</v>
      </c>
      <c r="B12" s="3" t="s">
        <v>44</v>
      </c>
      <c r="C12" s="6" t="s">
        <v>45</v>
      </c>
      <c r="D12" s="20">
        <v>2779.035</v>
      </c>
      <c r="E12" s="20">
        <f>D12-317.247-24.521</f>
        <v>2437.267</v>
      </c>
      <c r="F12" s="9">
        <f t="shared" si="0"/>
        <v>12.298081888137432</v>
      </c>
      <c r="G12" s="23">
        <v>2437.267</v>
      </c>
      <c r="H12" s="6" t="s">
        <v>46</v>
      </c>
      <c r="I12" s="18"/>
    </row>
    <row r="13" spans="1:9" s="14" customFormat="1" ht="157.5">
      <c r="A13" s="1">
        <v>8</v>
      </c>
      <c r="B13" s="3" t="s">
        <v>218</v>
      </c>
      <c r="C13" s="6" t="s">
        <v>114</v>
      </c>
      <c r="D13" s="20">
        <f>9459.785+7000-369.681</f>
        <v>16090.104</v>
      </c>
      <c r="E13" s="20">
        <f>D13-9090.104</f>
        <v>7000</v>
      </c>
      <c r="F13" s="9">
        <f t="shared" si="0"/>
        <v>56.49499841641794</v>
      </c>
      <c r="G13" s="23">
        <v>7000</v>
      </c>
      <c r="H13" s="6" t="s">
        <v>239</v>
      </c>
      <c r="I13" s="4"/>
    </row>
    <row r="14" spans="1:9" s="14" customFormat="1" ht="157.5">
      <c r="A14" s="1">
        <v>9</v>
      </c>
      <c r="B14" s="3" t="s">
        <v>27</v>
      </c>
      <c r="C14" s="6" t="s">
        <v>61</v>
      </c>
      <c r="D14" s="20">
        <v>4691.8</v>
      </c>
      <c r="E14" s="20">
        <f>4691.8-1520</f>
        <v>3171.8</v>
      </c>
      <c r="F14" s="9">
        <f t="shared" si="0"/>
        <v>32.396947866490464</v>
      </c>
      <c r="G14" s="23">
        <v>3171.8</v>
      </c>
      <c r="H14" s="6" t="s">
        <v>47</v>
      </c>
      <c r="I14" s="4"/>
    </row>
    <row r="15" spans="1:9" s="14" customFormat="1" ht="157.5">
      <c r="A15" s="1">
        <v>10</v>
      </c>
      <c r="B15" s="3" t="s">
        <v>24</v>
      </c>
      <c r="C15" s="6" t="s">
        <v>63</v>
      </c>
      <c r="D15" s="20">
        <v>4771.333</v>
      </c>
      <c r="E15" s="20">
        <f>D15-1660</f>
        <v>3111.3329999999996</v>
      </c>
      <c r="F15" s="9">
        <f t="shared" si="0"/>
        <v>34.79111602564734</v>
      </c>
      <c r="G15" s="23">
        <v>3111.3</v>
      </c>
      <c r="H15" s="11" t="s">
        <v>73</v>
      </c>
      <c r="I15" s="4"/>
    </row>
    <row r="18" spans="2:10" ht="40.5" customHeight="1">
      <c r="B18" s="149" t="s">
        <v>39</v>
      </c>
      <c r="C18" s="149"/>
      <c r="D18" s="149"/>
      <c r="E18" s="149"/>
      <c r="H18" s="18" t="s">
        <v>31</v>
      </c>
      <c r="J18" s="18"/>
    </row>
    <row r="19" spans="8:10" ht="15.75">
      <c r="H19" s="18"/>
      <c r="J19" s="18"/>
    </row>
    <row r="20" spans="1:3" ht="15.75">
      <c r="A20" s="18"/>
      <c r="C20" s="19" t="s">
        <v>32</v>
      </c>
    </row>
  </sheetData>
  <sheetProtection/>
  <mergeCells count="2">
    <mergeCell ref="A1:H1"/>
    <mergeCell ref="B18:E18"/>
  </mergeCells>
  <printOptions/>
  <pageMargins left="0.2755905511811024" right="0.2" top="0.3" bottom="0.23" header="0.27" footer="0.15748031496062992"/>
  <pageSetup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sheetPr>
    <tabColor indexed="26"/>
  </sheetPr>
  <dimension ref="A1:J39"/>
  <sheetViews>
    <sheetView zoomScale="70" zoomScaleNormal="70" zoomScaleSheetLayoutView="50" zoomScalePageLayoutView="0" workbookViewId="0" topLeftCell="A3">
      <pane xSplit="3" ySplit="2" topLeftCell="D29"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48" t="s">
        <v>57</v>
      </c>
      <c r="B1" s="148"/>
      <c r="C1" s="148"/>
      <c r="D1" s="148"/>
      <c r="E1" s="148"/>
      <c r="F1" s="148"/>
      <c r="G1" s="148"/>
      <c r="H1" s="148"/>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SUM(D6:D35)</f>
        <v>16733.785</v>
      </c>
      <c r="E5" s="22">
        <f>SUM(E6:E35)</f>
        <v>11404.451000000001</v>
      </c>
      <c r="F5" s="22" t="s">
        <v>30</v>
      </c>
      <c r="G5" s="22">
        <f>SUM(G6:G35)</f>
        <v>9690.891</v>
      </c>
      <c r="H5" s="10"/>
      <c r="J5" s="13" t="e">
        <f>I5-#REF!</f>
        <v>#REF!</v>
      </c>
    </row>
    <row r="6" spans="1:9" s="14" customFormat="1" ht="110.25">
      <c r="A6" s="1">
        <v>1</v>
      </c>
      <c r="B6" s="3" t="s">
        <v>19</v>
      </c>
      <c r="C6" s="6" t="s">
        <v>41</v>
      </c>
      <c r="D6" s="20">
        <v>1545.172</v>
      </c>
      <c r="E6" s="20">
        <f>D6-18.89</f>
        <v>1526.282</v>
      </c>
      <c r="F6" s="9">
        <f>100-(E6/D6*100)</f>
        <v>1.2225176226336032</v>
      </c>
      <c r="G6" s="20">
        <v>70</v>
      </c>
      <c r="H6" s="6" t="s">
        <v>145</v>
      </c>
      <c r="I6" s="7"/>
    </row>
    <row r="7" spans="1:9" s="14" customFormat="1" ht="78.75">
      <c r="A7" s="1">
        <v>2</v>
      </c>
      <c r="B7" s="3" t="s">
        <v>19</v>
      </c>
      <c r="C7" s="6" t="s">
        <v>71</v>
      </c>
      <c r="D7" s="20">
        <v>867.722</v>
      </c>
      <c r="E7" s="20">
        <f>D7-560.444</f>
        <v>307.278</v>
      </c>
      <c r="F7" s="9">
        <f>100-(E7/D7*100)</f>
        <v>64.58796711389132</v>
      </c>
      <c r="G7" s="20">
        <v>50</v>
      </c>
      <c r="H7" s="24" t="s">
        <v>43</v>
      </c>
      <c r="I7" s="7"/>
    </row>
    <row r="8" spans="1:9" s="14" customFormat="1" ht="110.25">
      <c r="A8" s="1">
        <v>3</v>
      </c>
      <c r="B8" s="3" t="s">
        <v>20</v>
      </c>
      <c r="C8" s="6" t="s">
        <v>83</v>
      </c>
      <c r="D8" s="20">
        <v>5000</v>
      </c>
      <c r="E8" s="20">
        <v>250</v>
      </c>
      <c r="F8" s="9">
        <f>100-(E8/D8*100)</f>
        <v>95</v>
      </c>
      <c r="G8" s="20">
        <v>250</v>
      </c>
      <c r="H8" s="25" t="s">
        <v>154</v>
      </c>
      <c r="I8" s="7"/>
    </row>
    <row r="9" spans="1:9" s="14" customFormat="1" ht="141.75">
      <c r="A9" s="1">
        <v>4</v>
      </c>
      <c r="B9" s="3" t="s">
        <v>20</v>
      </c>
      <c r="C9" s="6" t="s">
        <v>95</v>
      </c>
      <c r="D9" s="7">
        <v>300</v>
      </c>
      <c r="E9" s="7">
        <v>300</v>
      </c>
      <c r="F9" s="9">
        <f>100-(E9/D9*100)</f>
        <v>0</v>
      </c>
      <c r="G9" s="20">
        <v>300</v>
      </c>
      <c r="H9" s="25" t="s">
        <v>155</v>
      </c>
      <c r="I9" s="4"/>
    </row>
    <row r="10" spans="1:9" s="14" customFormat="1" ht="94.5">
      <c r="A10" s="1">
        <v>5</v>
      </c>
      <c r="B10" s="3" t="s">
        <v>28</v>
      </c>
      <c r="C10" s="15" t="s">
        <v>140</v>
      </c>
      <c r="D10" s="20">
        <v>800</v>
      </c>
      <c r="E10" s="23">
        <f>D10</f>
        <v>800</v>
      </c>
      <c r="F10" s="9">
        <f aca="true" t="shared" si="0" ref="F10:F19">100-(E10/D10*100)</f>
        <v>0</v>
      </c>
      <c r="G10" s="23">
        <v>800</v>
      </c>
      <c r="H10" s="26" t="s">
        <v>121</v>
      </c>
      <c r="I10" s="32"/>
    </row>
    <row r="11" spans="1:9" s="14" customFormat="1" ht="78.75">
      <c r="A11" s="1">
        <v>6</v>
      </c>
      <c r="B11" s="3" t="s">
        <v>28</v>
      </c>
      <c r="C11" s="15" t="s">
        <v>141</v>
      </c>
      <c r="D11" s="23">
        <v>314.5</v>
      </c>
      <c r="E11" s="20">
        <f>D11</f>
        <v>314.5</v>
      </c>
      <c r="F11" s="9">
        <f t="shared" si="0"/>
        <v>0</v>
      </c>
      <c r="G11" s="23">
        <v>314.5</v>
      </c>
      <c r="H11" s="11" t="s">
        <v>162</v>
      </c>
      <c r="I11" s="32"/>
    </row>
    <row r="12" spans="1:9" s="14" customFormat="1" ht="78.75">
      <c r="A12" s="1">
        <v>7</v>
      </c>
      <c r="B12" s="3" t="s">
        <v>23</v>
      </c>
      <c r="C12" s="6" t="s">
        <v>51</v>
      </c>
      <c r="D12" s="23">
        <v>120</v>
      </c>
      <c r="E12" s="23">
        <v>120</v>
      </c>
      <c r="F12" s="9">
        <f t="shared" si="0"/>
        <v>0</v>
      </c>
      <c r="G12" s="20">
        <v>120</v>
      </c>
      <c r="H12" s="6" t="s">
        <v>164</v>
      </c>
      <c r="I12" s="4"/>
    </row>
    <row r="13" spans="1:9" s="14" customFormat="1" ht="78.75">
      <c r="A13" s="1">
        <v>8</v>
      </c>
      <c r="B13" s="3" t="s">
        <v>23</v>
      </c>
      <c r="C13" s="6" t="s">
        <v>55</v>
      </c>
      <c r="D13" s="23">
        <v>191.212</v>
      </c>
      <c r="E13" s="23">
        <v>191.212</v>
      </c>
      <c r="F13" s="9">
        <f t="shared" si="0"/>
        <v>0</v>
      </c>
      <c r="G13" s="20">
        <v>191.212</v>
      </c>
      <c r="H13" s="6" t="s">
        <v>165</v>
      </c>
      <c r="I13" s="4"/>
    </row>
    <row r="14" spans="1:9" s="14" customFormat="1" ht="78.75">
      <c r="A14" s="1">
        <v>9</v>
      </c>
      <c r="B14" s="3" t="s">
        <v>23</v>
      </c>
      <c r="C14" s="6" t="s">
        <v>54</v>
      </c>
      <c r="D14" s="23">
        <v>250</v>
      </c>
      <c r="E14" s="23">
        <f>D14</f>
        <v>250</v>
      </c>
      <c r="F14" s="9">
        <f t="shared" si="0"/>
        <v>0</v>
      </c>
      <c r="G14" s="20">
        <v>250</v>
      </c>
      <c r="H14" s="6" t="s">
        <v>171</v>
      </c>
      <c r="I14" s="4"/>
    </row>
    <row r="15" spans="1:9" s="14" customFormat="1" ht="141.75">
      <c r="A15" s="1">
        <v>10</v>
      </c>
      <c r="B15" s="3" t="s">
        <v>23</v>
      </c>
      <c r="C15" s="6" t="s">
        <v>7</v>
      </c>
      <c r="D15" s="28">
        <v>185.179</v>
      </c>
      <c r="E15" s="28">
        <v>185.179</v>
      </c>
      <c r="F15" s="9">
        <f t="shared" si="0"/>
        <v>0</v>
      </c>
      <c r="G15" s="20">
        <v>185.179</v>
      </c>
      <c r="H15" s="6" t="s">
        <v>166</v>
      </c>
      <c r="I15" s="4"/>
    </row>
    <row r="16" spans="1:9" s="14" customFormat="1" ht="110.25">
      <c r="A16" s="1">
        <v>11</v>
      </c>
      <c r="B16" s="3" t="s">
        <v>23</v>
      </c>
      <c r="C16" s="6" t="s">
        <v>118</v>
      </c>
      <c r="D16" s="28">
        <v>700</v>
      </c>
      <c r="E16" s="28">
        <f aca="true" t="shared" si="1" ref="E16:E22">D16</f>
        <v>700</v>
      </c>
      <c r="F16" s="9">
        <f t="shared" si="0"/>
        <v>0</v>
      </c>
      <c r="G16" s="20">
        <v>700</v>
      </c>
      <c r="H16" s="24" t="s">
        <v>167</v>
      </c>
      <c r="I16" s="4"/>
    </row>
    <row r="17" spans="1:9" s="14" customFormat="1" ht="78.75">
      <c r="A17" s="1">
        <v>12</v>
      </c>
      <c r="B17" s="3" t="s">
        <v>23</v>
      </c>
      <c r="C17" s="6" t="s">
        <v>169</v>
      </c>
      <c r="D17" s="28">
        <v>450</v>
      </c>
      <c r="E17" s="28">
        <f t="shared" si="1"/>
        <v>450</v>
      </c>
      <c r="F17" s="29">
        <f t="shared" si="0"/>
        <v>0</v>
      </c>
      <c r="G17" s="23">
        <v>450</v>
      </c>
      <c r="H17" s="24" t="s">
        <v>167</v>
      </c>
      <c r="I17" s="4"/>
    </row>
    <row r="18" spans="1:9" s="14" customFormat="1" ht="126">
      <c r="A18" s="1">
        <v>13</v>
      </c>
      <c r="B18" s="3" t="s">
        <v>86</v>
      </c>
      <c r="C18" s="6" t="s">
        <v>93</v>
      </c>
      <c r="D18" s="7">
        <v>500</v>
      </c>
      <c r="E18" s="7">
        <f t="shared" si="1"/>
        <v>500</v>
      </c>
      <c r="F18" s="9">
        <f t="shared" si="0"/>
        <v>0</v>
      </c>
      <c r="G18" s="20">
        <v>500</v>
      </c>
      <c r="H18" s="6" t="s">
        <v>177</v>
      </c>
      <c r="I18" s="4"/>
    </row>
    <row r="19" spans="1:9" s="14" customFormat="1" ht="63">
      <c r="A19" s="1">
        <v>14</v>
      </c>
      <c r="B19" s="3" t="s">
        <v>86</v>
      </c>
      <c r="C19" s="6" t="s">
        <v>96</v>
      </c>
      <c r="D19" s="7">
        <v>250</v>
      </c>
      <c r="E19" s="7">
        <f t="shared" si="1"/>
        <v>250</v>
      </c>
      <c r="F19" s="9">
        <f t="shared" si="0"/>
        <v>0</v>
      </c>
      <c r="G19" s="20">
        <v>250</v>
      </c>
      <c r="H19" s="6" t="s">
        <v>178</v>
      </c>
      <c r="I19" s="4"/>
    </row>
    <row r="20" spans="1:9" s="14" customFormat="1" ht="94.5">
      <c r="A20" s="1">
        <v>15</v>
      </c>
      <c r="B20" s="3" t="s">
        <v>40</v>
      </c>
      <c r="C20" s="6" t="s">
        <v>3</v>
      </c>
      <c r="D20" s="7">
        <v>240</v>
      </c>
      <c r="E20" s="7">
        <f t="shared" si="1"/>
        <v>240</v>
      </c>
      <c r="F20" s="9">
        <v>0</v>
      </c>
      <c r="G20" s="20">
        <v>240</v>
      </c>
      <c r="H20" s="6" t="s">
        <v>210</v>
      </c>
      <c r="I20" s="4"/>
    </row>
    <row r="21" spans="1:9" s="14" customFormat="1" ht="78.75">
      <c r="A21" s="1">
        <v>16</v>
      </c>
      <c r="B21" s="3" t="s">
        <v>111</v>
      </c>
      <c r="C21" s="6" t="s">
        <v>112</v>
      </c>
      <c r="D21" s="23">
        <v>300</v>
      </c>
      <c r="E21" s="23">
        <f t="shared" si="1"/>
        <v>300</v>
      </c>
      <c r="F21" s="29">
        <v>0</v>
      </c>
      <c r="G21" s="23">
        <v>300</v>
      </c>
      <c r="H21" s="24" t="s">
        <v>167</v>
      </c>
      <c r="I21" s="18"/>
    </row>
    <row r="22" spans="1:9" s="14" customFormat="1" ht="78.75">
      <c r="A22" s="1">
        <v>17</v>
      </c>
      <c r="B22" s="3" t="s">
        <v>44</v>
      </c>
      <c r="C22" s="6" t="s">
        <v>113</v>
      </c>
      <c r="D22" s="23">
        <v>150</v>
      </c>
      <c r="E22" s="23">
        <f t="shared" si="1"/>
        <v>150</v>
      </c>
      <c r="F22" s="29">
        <v>0</v>
      </c>
      <c r="G22" s="23">
        <v>150</v>
      </c>
      <c r="H22" s="24" t="s">
        <v>167</v>
      </c>
      <c r="I22" s="18"/>
    </row>
    <row r="23" spans="1:9" s="14" customFormat="1" ht="78.75">
      <c r="A23" s="1">
        <v>18</v>
      </c>
      <c r="B23" s="3" t="s">
        <v>2</v>
      </c>
      <c r="C23" s="6" t="s">
        <v>52</v>
      </c>
      <c r="D23" s="20">
        <v>100</v>
      </c>
      <c r="E23" s="20">
        <v>100</v>
      </c>
      <c r="F23" s="9">
        <f aca="true" t="shared" si="2" ref="F23:F35">100-(E23/D23*100)</f>
        <v>0</v>
      </c>
      <c r="G23" s="20">
        <v>100</v>
      </c>
      <c r="H23" s="6" t="s">
        <v>183</v>
      </c>
      <c r="I23" s="4"/>
    </row>
    <row r="24" spans="1:9" s="14" customFormat="1" ht="78.75">
      <c r="A24" s="1">
        <v>19</v>
      </c>
      <c r="B24" s="3" t="s">
        <v>26</v>
      </c>
      <c r="C24" s="6" t="s">
        <v>137</v>
      </c>
      <c r="D24" s="20">
        <v>30</v>
      </c>
      <c r="E24" s="20">
        <f aca="true" t="shared" si="3" ref="E24:E35">D24</f>
        <v>30</v>
      </c>
      <c r="F24" s="9">
        <f>100-(E24/D24*100)</f>
        <v>0</v>
      </c>
      <c r="G24" s="20">
        <v>30</v>
      </c>
      <c r="H24" s="6" t="s">
        <v>187</v>
      </c>
      <c r="I24" s="4"/>
    </row>
    <row r="25" spans="1:9" s="14" customFormat="1" ht="94.5">
      <c r="A25" s="1">
        <v>20</v>
      </c>
      <c r="B25" s="3" t="s">
        <v>26</v>
      </c>
      <c r="C25" s="6" t="s">
        <v>138</v>
      </c>
      <c r="D25" s="20">
        <v>30</v>
      </c>
      <c r="E25" s="20">
        <f t="shared" si="3"/>
        <v>30</v>
      </c>
      <c r="F25" s="9">
        <f>100-(E25/D25*100)</f>
        <v>0</v>
      </c>
      <c r="G25" s="20">
        <v>30</v>
      </c>
      <c r="H25" s="24" t="s">
        <v>121</v>
      </c>
      <c r="I25" s="4"/>
    </row>
    <row r="26" spans="1:9" s="14" customFormat="1" ht="78.75">
      <c r="A26" s="1">
        <v>21</v>
      </c>
      <c r="B26" s="3" t="s">
        <v>26</v>
      </c>
      <c r="C26" s="6" t="s">
        <v>139</v>
      </c>
      <c r="D26" s="20">
        <v>40</v>
      </c>
      <c r="E26" s="20">
        <f t="shared" si="3"/>
        <v>40</v>
      </c>
      <c r="F26" s="9">
        <f>100-(E26/D26*100)</f>
        <v>0</v>
      </c>
      <c r="G26" s="20">
        <v>40</v>
      </c>
      <c r="H26" s="24" t="s">
        <v>121</v>
      </c>
      <c r="I26" s="4"/>
    </row>
    <row r="27" spans="1:9" s="14" customFormat="1" ht="78.75">
      <c r="A27" s="1">
        <v>22</v>
      </c>
      <c r="B27" s="3" t="s">
        <v>133</v>
      </c>
      <c r="C27" s="6" t="s">
        <v>134</v>
      </c>
      <c r="D27" s="20">
        <v>800</v>
      </c>
      <c r="E27" s="20">
        <f t="shared" si="3"/>
        <v>800</v>
      </c>
      <c r="F27" s="9">
        <f t="shared" si="2"/>
        <v>0</v>
      </c>
      <c r="G27" s="20">
        <v>800</v>
      </c>
      <c r="H27" s="6" t="s">
        <v>191</v>
      </c>
      <c r="I27" s="18"/>
    </row>
    <row r="28" spans="1:9" s="14" customFormat="1" ht="94.5">
      <c r="A28" s="1">
        <v>23</v>
      </c>
      <c r="B28" s="3" t="s">
        <v>25</v>
      </c>
      <c r="C28" s="6" t="s">
        <v>106</v>
      </c>
      <c r="D28" s="7">
        <v>320</v>
      </c>
      <c r="E28" s="7">
        <f t="shared" si="3"/>
        <v>320</v>
      </c>
      <c r="F28" s="9">
        <f t="shared" si="2"/>
        <v>0</v>
      </c>
      <c r="G28" s="20">
        <v>320</v>
      </c>
      <c r="H28" s="24" t="s">
        <v>202</v>
      </c>
      <c r="I28" s="4"/>
    </row>
    <row r="29" spans="1:9" s="14" customFormat="1" ht="94.5">
      <c r="A29" s="1">
        <v>24</v>
      </c>
      <c r="B29" s="3" t="s">
        <v>6</v>
      </c>
      <c r="C29" s="6" t="s">
        <v>110</v>
      </c>
      <c r="D29" s="7">
        <v>200</v>
      </c>
      <c r="E29" s="7">
        <f t="shared" si="3"/>
        <v>200</v>
      </c>
      <c r="F29" s="9">
        <f t="shared" si="2"/>
        <v>0</v>
      </c>
      <c r="G29" s="20">
        <v>200</v>
      </c>
      <c r="H29" s="24" t="s">
        <v>202</v>
      </c>
      <c r="I29" s="4"/>
    </row>
    <row r="30" spans="1:9" s="14" customFormat="1" ht="47.25">
      <c r="A30" s="1">
        <v>25</v>
      </c>
      <c r="B30" s="3" t="s">
        <v>6</v>
      </c>
      <c r="C30" s="6" t="s">
        <v>125</v>
      </c>
      <c r="D30" s="7">
        <v>100</v>
      </c>
      <c r="E30" s="7">
        <f t="shared" si="3"/>
        <v>100</v>
      </c>
      <c r="F30" s="9">
        <f t="shared" si="2"/>
        <v>0</v>
      </c>
      <c r="G30" s="20">
        <v>100</v>
      </c>
      <c r="H30" s="24" t="s">
        <v>202</v>
      </c>
      <c r="I30" s="4"/>
    </row>
    <row r="31" spans="1:9" s="14" customFormat="1" ht="78.75">
      <c r="A31" s="1">
        <v>26</v>
      </c>
      <c r="B31" s="3" t="s">
        <v>120</v>
      </c>
      <c r="C31" s="6" t="s">
        <v>123</v>
      </c>
      <c r="D31" s="7">
        <v>650</v>
      </c>
      <c r="E31" s="7">
        <f t="shared" si="3"/>
        <v>650</v>
      </c>
      <c r="F31" s="9">
        <f t="shared" si="2"/>
        <v>0</v>
      </c>
      <c r="G31" s="20">
        <v>650</v>
      </c>
      <c r="H31" s="24" t="s">
        <v>202</v>
      </c>
      <c r="I31" s="4"/>
    </row>
    <row r="32" spans="1:9" s="14" customFormat="1" ht="94.5">
      <c r="A32" s="1">
        <v>27</v>
      </c>
      <c r="B32" s="3" t="s">
        <v>120</v>
      </c>
      <c r="C32" s="6" t="s">
        <v>122</v>
      </c>
      <c r="D32" s="7">
        <v>700</v>
      </c>
      <c r="E32" s="7">
        <f t="shared" si="3"/>
        <v>700</v>
      </c>
      <c r="F32" s="9">
        <f t="shared" si="2"/>
        <v>0</v>
      </c>
      <c r="G32" s="20">
        <v>700</v>
      </c>
      <c r="H32" s="24" t="s">
        <v>202</v>
      </c>
      <c r="I32" s="4"/>
    </row>
    <row r="33" spans="1:9" s="14" customFormat="1" ht="78.75">
      <c r="A33" s="1">
        <v>28</v>
      </c>
      <c r="B33" s="3" t="s">
        <v>117</v>
      </c>
      <c r="C33" s="6" t="s">
        <v>119</v>
      </c>
      <c r="D33" s="7">
        <v>400</v>
      </c>
      <c r="E33" s="7">
        <f t="shared" si="3"/>
        <v>400</v>
      </c>
      <c r="F33" s="9">
        <f t="shared" si="2"/>
        <v>0</v>
      </c>
      <c r="G33" s="20">
        <v>400</v>
      </c>
      <c r="H33" s="24" t="s">
        <v>202</v>
      </c>
      <c r="I33" s="4"/>
    </row>
    <row r="34" spans="1:9" s="14" customFormat="1" ht="94.5">
      <c r="A34" s="1">
        <v>29</v>
      </c>
      <c r="B34" s="3" t="s">
        <v>218</v>
      </c>
      <c r="C34" s="6" t="s">
        <v>116</v>
      </c>
      <c r="D34" s="20">
        <v>600</v>
      </c>
      <c r="E34" s="20">
        <f t="shared" si="3"/>
        <v>600</v>
      </c>
      <c r="F34" s="9">
        <f t="shared" si="2"/>
        <v>0</v>
      </c>
      <c r="G34" s="20">
        <v>600</v>
      </c>
      <c r="H34" s="6" t="s">
        <v>208</v>
      </c>
      <c r="I34" s="4"/>
    </row>
    <row r="35" spans="1:9" s="14" customFormat="1" ht="94.5">
      <c r="A35" s="1">
        <v>30</v>
      </c>
      <c r="B35" s="3" t="s">
        <v>218</v>
      </c>
      <c r="C35" s="6" t="s">
        <v>115</v>
      </c>
      <c r="D35" s="20">
        <v>600</v>
      </c>
      <c r="E35" s="20">
        <f t="shared" si="3"/>
        <v>600</v>
      </c>
      <c r="F35" s="9">
        <f t="shared" si="2"/>
        <v>0</v>
      </c>
      <c r="G35" s="20">
        <v>600</v>
      </c>
      <c r="H35" s="6" t="s">
        <v>209</v>
      </c>
      <c r="I35" s="4"/>
    </row>
    <row r="37" spans="2:10" ht="40.5" customHeight="1">
      <c r="B37" s="149" t="s">
        <v>39</v>
      </c>
      <c r="C37" s="149"/>
      <c r="D37" s="149"/>
      <c r="E37" s="149"/>
      <c r="H37" s="18" t="s">
        <v>31</v>
      </c>
      <c r="J37" s="18"/>
    </row>
    <row r="38" spans="8:10" ht="15.75">
      <c r="H38" s="18"/>
      <c r="J38" s="18"/>
    </row>
    <row r="39" spans="1:3" ht="15.75">
      <c r="A39" s="18"/>
      <c r="C39" s="19" t="s">
        <v>32</v>
      </c>
    </row>
  </sheetData>
  <sheetProtection/>
  <mergeCells count="2">
    <mergeCell ref="A1:H1"/>
    <mergeCell ref="B37:E37"/>
  </mergeCells>
  <printOptions/>
  <pageMargins left="0.2755905511811024" right="0.2" top="0.3" bottom="0.23" header="0.27" footer="0.15748031496062992"/>
  <pageSetup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sheetPr>
    <tabColor rgb="FFC00000"/>
  </sheetPr>
  <dimension ref="A1:J103"/>
  <sheetViews>
    <sheetView zoomScale="70" zoomScaleNormal="70" zoomScaleSheetLayoutView="50" zoomScalePageLayoutView="0" workbookViewId="0" topLeftCell="A3">
      <pane xSplit="3" ySplit="2" topLeftCell="D5"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48" t="s">
        <v>57</v>
      </c>
      <c r="B1" s="148"/>
      <c r="C1" s="148"/>
      <c r="D1" s="148"/>
      <c r="E1" s="148"/>
      <c r="F1" s="148"/>
      <c r="G1" s="148"/>
      <c r="H1" s="148"/>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SUM(D6:D98)</f>
        <v>393243.63599999994</v>
      </c>
      <c r="E5" s="22">
        <f>SUM(E6:E98)</f>
        <v>326800.19399999996</v>
      </c>
      <c r="F5" s="22" t="s">
        <v>30</v>
      </c>
      <c r="G5" s="22">
        <f>SUM(G6:G98)</f>
        <v>178895.821</v>
      </c>
      <c r="H5" s="10"/>
      <c r="J5" s="13" t="e">
        <f>I5-#REF!</f>
        <v>#REF!</v>
      </c>
    </row>
    <row r="6" spans="1:9" s="14" customFormat="1" ht="110.25">
      <c r="A6" s="1">
        <v>1</v>
      </c>
      <c r="B6" s="3" t="s">
        <v>19</v>
      </c>
      <c r="C6" s="6" t="s">
        <v>41</v>
      </c>
      <c r="D6" s="20">
        <v>1545.172</v>
      </c>
      <c r="E6" s="20">
        <f>D6-18.89</f>
        <v>1526.282</v>
      </c>
      <c r="F6" s="9">
        <f aca="true" t="shared" si="0" ref="F6:F18">100-(E6/D6*100)</f>
        <v>1.2225176226336032</v>
      </c>
      <c r="G6" s="20">
        <v>70</v>
      </c>
      <c r="H6" s="6" t="s">
        <v>145</v>
      </c>
      <c r="I6" s="7"/>
    </row>
    <row r="7" spans="1:9" s="14" customFormat="1" ht="78.75">
      <c r="A7" s="1">
        <v>2</v>
      </c>
      <c r="B7" s="3" t="s">
        <v>19</v>
      </c>
      <c r="C7" s="6" t="s">
        <v>71</v>
      </c>
      <c r="D7" s="20">
        <v>867.722</v>
      </c>
      <c r="E7" s="20">
        <f>D7-560.444</f>
        <v>307.278</v>
      </c>
      <c r="F7" s="9">
        <f t="shared" si="0"/>
        <v>64.58796711389132</v>
      </c>
      <c r="G7" s="20">
        <v>50</v>
      </c>
      <c r="H7" s="24" t="s">
        <v>43</v>
      </c>
      <c r="I7" s="7"/>
    </row>
    <row r="8" spans="1:9" s="14" customFormat="1" ht="94.5">
      <c r="A8" s="1">
        <v>3</v>
      </c>
      <c r="B8" s="3" t="s">
        <v>33</v>
      </c>
      <c r="C8" s="6" t="s">
        <v>79</v>
      </c>
      <c r="D8" s="20">
        <v>21981.914</v>
      </c>
      <c r="E8" s="20">
        <f>D8-188.441</f>
        <v>21793.473</v>
      </c>
      <c r="F8" s="9">
        <f t="shared" si="0"/>
        <v>0.8572547413296121</v>
      </c>
      <c r="G8" s="23">
        <v>2200</v>
      </c>
      <c r="H8" s="6" t="s">
        <v>82</v>
      </c>
      <c r="I8" s="7"/>
    </row>
    <row r="9" spans="1:9" s="14" customFormat="1" ht="78.75">
      <c r="A9" s="1">
        <v>4</v>
      </c>
      <c r="B9" s="3" t="s">
        <v>19</v>
      </c>
      <c r="C9" s="6" t="s">
        <v>107</v>
      </c>
      <c r="D9" s="7">
        <v>24254.365</v>
      </c>
      <c r="E9" s="7">
        <f>D9</f>
        <v>24254.365</v>
      </c>
      <c r="F9" s="9">
        <f t="shared" si="0"/>
        <v>0</v>
      </c>
      <c r="G9" s="20">
        <v>4500</v>
      </c>
      <c r="H9" s="6" t="s">
        <v>146</v>
      </c>
      <c r="I9" s="4"/>
    </row>
    <row r="10" spans="1:9" s="14" customFormat="1" ht="94.5">
      <c r="A10" s="1">
        <v>5</v>
      </c>
      <c r="B10" s="3" t="s">
        <v>19</v>
      </c>
      <c r="C10" s="6" t="s">
        <v>108</v>
      </c>
      <c r="D10" s="7">
        <v>1500</v>
      </c>
      <c r="E10" s="7">
        <f>D10</f>
        <v>1500</v>
      </c>
      <c r="F10" s="9">
        <f t="shared" si="0"/>
        <v>0</v>
      </c>
      <c r="G10" s="20">
        <v>1500</v>
      </c>
      <c r="H10" s="6" t="s">
        <v>147</v>
      </c>
      <c r="I10" s="4"/>
    </row>
    <row r="11" spans="1:9" s="14" customFormat="1" ht="94.5">
      <c r="A11" s="1">
        <v>6</v>
      </c>
      <c r="B11" s="3" t="s">
        <v>19</v>
      </c>
      <c r="C11" s="6" t="s">
        <v>109</v>
      </c>
      <c r="D11" s="7">
        <v>1500</v>
      </c>
      <c r="E11" s="7">
        <f>D11</f>
        <v>1500</v>
      </c>
      <c r="F11" s="9">
        <f t="shared" si="0"/>
        <v>0</v>
      </c>
      <c r="G11" s="20">
        <v>1500</v>
      </c>
      <c r="H11" s="6" t="s">
        <v>147</v>
      </c>
      <c r="I11" s="4"/>
    </row>
    <row r="12" spans="1:9" s="14" customFormat="1" ht="189">
      <c r="A12" s="1">
        <v>7</v>
      </c>
      <c r="B12" s="3" t="s">
        <v>20</v>
      </c>
      <c r="C12" s="15" t="s">
        <v>34</v>
      </c>
      <c r="D12" s="20">
        <v>27620.08</v>
      </c>
      <c r="E12" s="20">
        <f>D12-79.166-2972.875</f>
        <v>24568.039</v>
      </c>
      <c r="F12" s="9">
        <f t="shared" si="0"/>
        <v>11.050080231483761</v>
      </c>
      <c r="G12" s="20">
        <v>8497.375</v>
      </c>
      <c r="H12" s="6" t="s">
        <v>59</v>
      </c>
      <c r="I12" s="7"/>
    </row>
    <row r="13" spans="1:9" s="14" customFormat="1" ht="110.25">
      <c r="A13" s="1">
        <v>8</v>
      </c>
      <c r="B13" s="3" t="s">
        <v>20</v>
      </c>
      <c r="C13" s="6" t="s">
        <v>21</v>
      </c>
      <c r="D13" s="20">
        <v>7706.785</v>
      </c>
      <c r="E13" s="20">
        <f>D13-95.619-4404.381</f>
        <v>3206.785</v>
      </c>
      <c r="F13" s="9">
        <f t="shared" si="0"/>
        <v>58.390106899310155</v>
      </c>
      <c r="G13" s="20">
        <v>3206.785</v>
      </c>
      <c r="H13" s="6" t="s">
        <v>48</v>
      </c>
      <c r="I13" s="7"/>
    </row>
    <row r="14" spans="1:9" s="14" customFormat="1" ht="78.75">
      <c r="A14" s="1">
        <v>9</v>
      </c>
      <c r="B14" s="3" t="s">
        <v>20</v>
      </c>
      <c r="C14" s="6" t="s">
        <v>22</v>
      </c>
      <c r="D14" s="20">
        <v>1316.513</v>
      </c>
      <c r="E14" s="20">
        <f>D14-62.983</f>
        <v>1253.53</v>
      </c>
      <c r="F14" s="9">
        <f t="shared" si="0"/>
        <v>4.784077331556929</v>
      </c>
      <c r="G14" s="20">
        <v>1253.53</v>
      </c>
      <c r="H14" s="6" t="s">
        <v>49</v>
      </c>
      <c r="I14" s="7"/>
    </row>
    <row r="15" spans="1:9" s="14" customFormat="1" ht="126">
      <c r="A15" s="1">
        <v>10</v>
      </c>
      <c r="B15" s="3" t="s">
        <v>20</v>
      </c>
      <c r="C15" s="6" t="s">
        <v>60</v>
      </c>
      <c r="D15" s="20">
        <v>2580</v>
      </c>
      <c r="E15" s="20">
        <f>D15-199.974</f>
        <v>2380.026</v>
      </c>
      <c r="F15" s="9">
        <f t="shared" si="0"/>
        <v>7.750930232558147</v>
      </c>
      <c r="G15" s="20">
        <v>2380.026</v>
      </c>
      <c r="H15" s="31" t="s">
        <v>68</v>
      </c>
      <c r="I15" s="7"/>
    </row>
    <row r="16" spans="1:9" s="14" customFormat="1" ht="78.75">
      <c r="A16" s="1">
        <v>11</v>
      </c>
      <c r="B16" s="3" t="s">
        <v>20</v>
      </c>
      <c r="C16" s="6" t="s">
        <v>66</v>
      </c>
      <c r="D16" s="20">
        <v>5000</v>
      </c>
      <c r="E16" s="20">
        <f>D16-178.744</f>
        <v>4821.256</v>
      </c>
      <c r="F16" s="9">
        <f t="shared" si="0"/>
        <v>3.574879999999993</v>
      </c>
      <c r="G16" s="20">
        <v>4821.256</v>
      </c>
      <c r="H16" s="6" t="s">
        <v>150</v>
      </c>
      <c r="I16" s="7"/>
    </row>
    <row r="17" spans="1:9" s="14" customFormat="1" ht="126">
      <c r="A17" s="1">
        <v>12</v>
      </c>
      <c r="B17" s="3" t="s">
        <v>20</v>
      </c>
      <c r="C17" s="6" t="s">
        <v>77</v>
      </c>
      <c r="D17" s="20">
        <f>5003.801+1000-214.453</f>
        <v>5789.348</v>
      </c>
      <c r="E17" s="20">
        <f>D17-34.588-4754.76</f>
        <v>1000</v>
      </c>
      <c r="F17" s="9">
        <f t="shared" si="0"/>
        <v>82.72689774392558</v>
      </c>
      <c r="G17" s="20">
        <v>1000</v>
      </c>
      <c r="H17" s="6" t="s">
        <v>148</v>
      </c>
      <c r="I17" s="7"/>
    </row>
    <row r="18" spans="1:9" s="14" customFormat="1" ht="63">
      <c r="A18" s="1">
        <v>13</v>
      </c>
      <c r="B18" s="3" t="s">
        <v>20</v>
      </c>
      <c r="C18" s="6" t="s">
        <v>85</v>
      </c>
      <c r="D18" s="20">
        <v>1387</v>
      </c>
      <c r="E18" s="20">
        <f>1387-87</f>
        <v>1300</v>
      </c>
      <c r="F18" s="9">
        <f t="shared" si="0"/>
        <v>6.272530641672674</v>
      </c>
      <c r="G18" s="20">
        <v>1300</v>
      </c>
      <c r="H18" s="6" t="s">
        <v>149</v>
      </c>
      <c r="I18" s="7"/>
    </row>
    <row r="19" spans="1:9" s="14" customFormat="1" ht="110.25">
      <c r="A19" s="1">
        <v>14</v>
      </c>
      <c r="B19" s="3" t="s">
        <v>20</v>
      </c>
      <c r="C19" s="6" t="s">
        <v>83</v>
      </c>
      <c r="D19" s="20">
        <v>250</v>
      </c>
      <c r="E19" s="20">
        <f>D19</f>
        <v>250</v>
      </c>
      <c r="F19" s="9">
        <f aca="true" t="shared" si="1" ref="F19:F25">100-(E19/D19*100)</f>
        <v>0</v>
      </c>
      <c r="G19" s="20">
        <v>250</v>
      </c>
      <c r="H19" s="25" t="s">
        <v>154</v>
      </c>
      <c r="I19" s="7"/>
    </row>
    <row r="20" spans="1:9" s="14" customFormat="1" ht="94.5">
      <c r="A20" s="1">
        <v>15</v>
      </c>
      <c r="B20" s="3" t="s">
        <v>20</v>
      </c>
      <c r="C20" s="6" t="s">
        <v>84</v>
      </c>
      <c r="D20" s="20">
        <v>4500</v>
      </c>
      <c r="E20" s="20">
        <f aca="true" t="shared" si="2" ref="E20:E25">D20</f>
        <v>4500</v>
      </c>
      <c r="F20" s="9">
        <f t="shared" si="1"/>
        <v>0</v>
      </c>
      <c r="G20" s="20">
        <v>4500</v>
      </c>
      <c r="H20" s="6" t="s">
        <v>151</v>
      </c>
      <c r="I20" s="7"/>
    </row>
    <row r="21" spans="1:9" s="14" customFormat="1" ht="94.5">
      <c r="A21" s="1">
        <v>16</v>
      </c>
      <c r="B21" s="3" t="s">
        <v>20</v>
      </c>
      <c r="C21" s="6" t="s">
        <v>87</v>
      </c>
      <c r="D21" s="20">
        <v>3000</v>
      </c>
      <c r="E21" s="20">
        <f t="shared" si="2"/>
        <v>3000</v>
      </c>
      <c r="F21" s="9">
        <f t="shared" si="1"/>
        <v>0</v>
      </c>
      <c r="G21" s="20">
        <v>3000</v>
      </c>
      <c r="H21" s="6" t="s">
        <v>152</v>
      </c>
      <c r="I21" s="7"/>
    </row>
    <row r="22" spans="1:9" s="14" customFormat="1" ht="94.5">
      <c r="A22" s="1">
        <v>17</v>
      </c>
      <c r="B22" s="3" t="s">
        <v>20</v>
      </c>
      <c r="C22" s="6" t="s">
        <v>88</v>
      </c>
      <c r="D22" s="20">
        <v>3500</v>
      </c>
      <c r="E22" s="20">
        <f t="shared" si="2"/>
        <v>3500</v>
      </c>
      <c r="F22" s="9">
        <f t="shared" si="1"/>
        <v>0</v>
      </c>
      <c r="G22" s="20">
        <v>3500</v>
      </c>
      <c r="H22" s="6" t="s">
        <v>152</v>
      </c>
      <c r="I22" s="7"/>
    </row>
    <row r="23" spans="1:9" s="14" customFormat="1" ht="78.75">
      <c r="A23" s="1">
        <v>18</v>
      </c>
      <c r="B23" s="3" t="s">
        <v>20</v>
      </c>
      <c r="C23" s="6" t="s">
        <v>89</v>
      </c>
      <c r="D23" s="20">
        <v>3800</v>
      </c>
      <c r="E23" s="20">
        <f t="shared" si="2"/>
        <v>3800</v>
      </c>
      <c r="F23" s="9">
        <f t="shared" si="1"/>
        <v>0</v>
      </c>
      <c r="G23" s="20">
        <v>3800</v>
      </c>
      <c r="H23" s="6" t="s">
        <v>153</v>
      </c>
      <c r="I23" s="7"/>
    </row>
    <row r="24" spans="1:9" s="14" customFormat="1" ht="94.5">
      <c r="A24" s="1">
        <v>19</v>
      </c>
      <c r="B24" s="3" t="s">
        <v>20</v>
      </c>
      <c r="C24" s="6" t="s">
        <v>90</v>
      </c>
      <c r="D24" s="20">
        <v>3800</v>
      </c>
      <c r="E24" s="20">
        <f t="shared" si="2"/>
        <v>3800</v>
      </c>
      <c r="F24" s="9">
        <f t="shared" si="1"/>
        <v>0</v>
      </c>
      <c r="G24" s="20">
        <v>3800</v>
      </c>
      <c r="H24" s="6" t="s">
        <v>154</v>
      </c>
      <c r="I24" s="7"/>
    </row>
    <row r="25" spans="1:9" s="14" customFormat="1" ht="141.75">
      <c r="A25" s="1">
        <v>20</v>
      </c>
      <c r="B25" s="3" t="s">
        <v>20</v>
      </c>
      <c r="C25" s="6" t="s">
        <v>95</v>
      </c>
      <c r="D25" s="7">
        <v>300</v>
      </c>
      <c r="E25" s="7">
        <f t="shared" si="2"/>
        <v>300</v>
      </c>
      <c r="F25" s="9">
        <f t="shared" si="1"/>
        <v>0</v>
      </c>
      <c r="G25" s="20">
        <v>300</v>
      </c>
      <c r="H25" s="25" t="s">
        <v>155</v>
      </c>
      <c r="I25" s="4"/>
    </row>
    <row r="26" spans="1:9" s="14" customFormat="1" ht="47.25">
      <c r="A26" s="1">
        <v>21</v>
      </c>
      <c r="B26" s="3" t="s">
        <v>28</v>
      </c>
      <c r="C26" s="6" t="s">
        <v>62</v>
      </c>
      <c r="D26" s="20">
        <v>14117.909</v>
      </c>
      <c r="E26" s="20">
        <f>D26-2770</f>
        <v>11347.909</v>
      </c>
      <c r="F26" s="9">
        <f>100-(E26/D26*100)</f>
        <v>19.62046929187602</v>
      </c>
      <c r="G26" s="20">
        <v>4000</v>
      </c>
      <c r="H26" s="6" t="s">
        <v>74</v>
      </c>
      <c r="I26" s="7"/>
    </row>
    <row r="27" spans="1:9" s="14" customFormat="1" ht="236.25">
      <c r="A27" s="1">
        <v>22</v>
      </c>
      <c r="B27" s="3" t="s">
        <v>28</v>
      </c>
      <c r="C27" s="15" t="s">
        <v>29</v>
      </c>
      <c r="D27" s="20">
        <v>70790.65</v>
      </c>
      <c r="E27" s="20">
        <f>D27-18842.403</f>
        <v>51948.246999999996</v>
      </c>
      <c r="F27" s="9">
        <f>100-(E27/D27*100)</f>
        <v>26.61707866787492</v>
      </c>
      <c r="G27" s="20">
        <v>10000</v>
      </c>
      <c r="H27" s="6" t="s">
        <v>50</v>
      </c>
      <c r="I27" s="7"/>
    </row>
    <row r="28" spans="1:9" s="14" customFormat="1" ht="189">
      <c r="A28" s="1">
        <v>23</v>
      </c>
      <c r="B28" s="3" t="s">
        <v>28</v>
      </c>
      <c r="C28" s="15" t="s">
        <v>75</v>
      </c>
      <c r="D28" s="20">
        <v>18856.07</v>
      </c>
      <c r="E28" s="20">
        <f>D28-280.524</f>
        <v>18575.546</v>
      </c>
      <c r="F28" s="9">
        <f>100-(E28/D28*100)</f>
        <v>1.4877119145187692</v>
      </c>
      <c r="G28" s="20">
        <v>5000</v>
      </c>
      <c r="H28" s="11" t="s">
        <v>156</v>
      </c>
      <c r="I28" s="7"/>
    </row>
    <row r="29" spans="1:9" s="14" customFormat="1" ht="141.75">
      <c r="A29" s="1">
        <v>24</v>
      </c>
      <c r="B29" s="3" t="s">
        <v>80</v>
      </c>
      <c r="C29" s="15" t="s">
        <v>81</v>
      </c>
      <c r="D29" s="20">
        <v>20000</v>
      </c>
      <c r="E29" s="20">
        <v>20000</v>
      </c>
      <c r="F29" s="9">
        <f>100-(E29/D29*100)</f>
        <v>0</v>
      </c>
      <c r="G29" s="20">
        <v>5000</v>
      </c>
      <c r="H29" s="11" t="s">
        <v>157</v>
      </c>
      <c r="I29" s="32"/>
    </row>
    <row r="30" spans="1:9" s="14" customFormat="1" ht="94.5">
      <c r="A30" s="1">
        <v>25</v>
      </c>
      <c r="B30" s="3" t="s">
        <v>28</v>
      </c>
      <c r="C30" s="15" t="s">
        <v>140</v>
      </c>
      <c r="D30" s="20">
        <v>800</v>
      </c>
      <c r="E30" s="23">
        <f>D30</f>
        <v>800</v>
      </c>
      <c r="F30" s="9">
        <f>100-(E30/D30*100)</f>
        <v>0</v>
      </c>
      <c r="G30" s="23">
        <v>800</v>
      </c>
      <c r="H30" s="26" t="s">
        <v>121</v>
      </c>
      <c r="I30" s="32"/>
    </row>
    <row r="31" spans="1:9" s="14" customFormat="1" ht="63">
      <c r="A31" s="1">
        <v>26</v>
      </c>
      <c r="B31" s="3" t="s">
        <v>28</v>
      </c>
      <c r="C31" s="15" t="s">
        <v>127</v>
      </c>
      <c r="D31" s="20">
        <v>1073.747</v>
      </c>
      <c r="E31" s="20">
        <f>D31-50.283</f>
        <v>1023.464</v>
      </c>
      <c r="F31" s="9">
        <f aca="true" t="shared" si="3" ref="F31:F38">100-(E31/D31*100)</f>
        <v>4.6829467276742065</v>
      </c>
      <c r="G31" s="20">
        <v>1023.464</v>
      </c>
      <c r="H31" s="11" t="s">
        <v>158</v>
      </c>
      <c r="I31" s="32"/>
    </row>
    <row r="32" spans="1:9" s="14" customFormat="1" ht="78.75">
      <c r="A32" s="1">
        <v>27</v>
      </c>
      <c r="B32" s="3" t="s">
        <v>28</v>
      </c>
      <c r="C32" s="15" t="s">
        <v>129</v>
      </c>
      <c r="D32" s="20">
        <v>8000</v>
      </c>
      <c r="E32" s="20">
        <f>D32</f>
        <v>8000</v>
      </c>
      <c r="F32" s="9">
        <f t="shared" si="3"/>
        <v>0</v>
      </c>
      <c r="G32" s="20">
        <v>3200</v>
      </c>
      <c r="H32" s="11" t="s">
        <v>159</v>
      </c>
      <c r="I32" s="32"/>
    </row>
    <row r="33" spans="1:9" s="14" customFormat="1" ht="63">
      <c r="A33" s="1">
        <v>28</v>
      </c>
      <c r="B33" s="3" t="s">
        <v>28</v>
      </c>
      <c r="C33" s="15" t="s">
        <v>131</v>
      </c>
      <c r="D33" s="20">
        <v>947.597</v>
      </c>
      <c r="E33" s="20">
        <f>D33-15.624</f>
        <v>931.973</v>
      </c>
      <c r="F33" s="9">
        <f t="shared" si="3"/>
        <v>1.6488021806738544</v>
      </c>
      <c r="G33" s="20">
        <v>931.597</v>
      </c>
      <c r="H33" s="11" t="s">
        <v>161</v>
      </c>
      <c r="I33" s="32"/>
    </row>
    <row r="34" spans="1:9" s="14" customFormat="1" ht="78.75">
      <c r="A34" s="1">
        <v>29</v>
      </c>
      <c r="B34" s="3" t="s">
        <v>28</v>
      </c>
      <c r="C34" s="15" t="s">
        <v>132</v>
      </c>
      <c r="D34" s="20">
        <v>126.086</v>
      </c>
      <c r="E34" s="20">
        <f>D34-6.943</f>
        <v>119.143</v>
      </c>
      <c r="F34" s="9">
        <f t="shared" si="3"/>
        <v>5.506559015275286</v>
      </c>
      <c r="G34" s="20">
        <v>119.143</v>
      </c>
      <c r="H34" s="11" t="s">
        <v>160</v>
      </c>
      <c r="I34" s="32"/>
    </row>
    <row r="35" spans="1:9" s="14" customFormat="1" ht="78.75">
      <c r="A35" s="1">
        <v>30</v>
      </c>
      <c r="B35" s="3" t="s">
        <v>28</v>
      </c>
      <c r="C35" s="15" t="s">
        <v>135</v>
      </c>
      <c r="D35" s="20">
        <v>383.911</v>
      </c>
      <c r="E35" s="20">
        <f>D35-25.723</f>
        <v>358.188</v>
      </c>
      <c r="F35" s="9">
        <f t="shared" si="3"/>
        <v>6.700250839387252</v>
      </c>
      <c r="G35" s="20">
        <v>358.188</v>
      </c>
      <c r="H35" s="11" t="s">
        <v>136</v>
      </c>
      <c r="I35" s="32"/>
    </row>
    <row r="36" spans="1:9" s="14" customFormat="1" ht="78.75">
      <c r="A36" s="1">
        <v>31</v>
      </c>
      <c r="B36" s="3" t="s">
        <v>28</v>
      </c>
      <c r="C36" s="15" t="s">
        <v>141</v>
      </c>
      <c r="D36" s="23">
        <v>314.5</v>
      </c>
      <c r="E36" s="20">
        <f>D36</f>
        <v>314.5</v>
      </c>
      <c r="F36" s="9">
        <f t="shared" si="3"/>
        <v>0</v>
      </c>
      <c r="G36" s="23">
        <v>314.5</v>
      </c>
      <c r="H36" s="11" t="s">
        <v>162</v>
      </c>
      <c r="I36" s="32"/>
    </row>
    <row r="37" spans="1:9" s="14" customFormat="1" ht="63">
      <c r="A37" s="1">
        <v>32</v>
      </c>
      <c r="B37" s="3" t="s">
        <v>28</v>
      </c>
      <c r="C37" s="15" t="s">
        <v>143</v>
      </c>
      <c r="D37" s="20">
        <v>500.3</v>
      </c>
      <c r="E37" s="20">
        <f>D37-18</f>
        <v>482.3</v>
      </c>
      <c r="F37" s="9">
        <f t="shared" si="3"/>
        <v>3.5978412952228638</v>
      </c>
      <c r="G37" s="20">
        <v>482.3</v>
      </c>
      <c r="H37" s="27" t="s">
        <v>163</v>
      </c>
      <c r="I37" s="32"/>
    </row>
    <row r="38" spans="1:9" s="14" customFormat="1" ht="47.25">
      <c r="A38" s="1">
        <v>33</v>
      </c>
      <c r="B38" s="3" t="s">
        <v>28</v>
      </c>
      <c r="C38" s="15" t="s">
        <v>144</v>
      </c>
      <c r="D38" s="20">
        <v>180</v>
      </c>
      <c r="E38" s="20">
        <f>D38-20</f>
        <v>160</v>
      </c>
      <c r="F38" s="9">
        <f t="shared" si="3"/>
        <v>11.111111111111114</v>
      </c>
      <c r="G38" s="20">
        <v>160</v>
      </c>
      <c r="H38" s="27" t="s">
        <v>163</v>
      </c>
      <c r="I38" s="32"/>
    </row>
    <row r="39" spans="1:9" s="14" customFormat="1" ht="47.25">
      <c r="A39" s="1">
        <v>34</v>
      </c>
      <c r="B39" s="3" t="s">
        <v>23</v>
      </c>
      <c r="C39" s="15" t="s">
        <v>35</v>
      </c>
      <c r="D39" s="20">
        <v>14260.633</v>
      </c>
      <c r="E39" s="20">
        <f>D39-21.353-13957.996</f>
        <v>281.28400000000147</v>
      </c>
      <c r="F39" s="9">
        <f>100-(E39/D39*100)</f>
        <v>98.02754898748182</v>
      </c>
      <c r="G39" s="20">
        <v>281.284</v>
      </c>
      <c r="H39" s="11" t="s">
        <v>38</v>
      </c>
      <c r="I39" s="4"/>
    </row>
    <row r="40" spans="1:9" s="14" customFormat="1" ht="78.75">
      <c r="A40" s="1">
        <v>35</v>
      </c>
      <c r="B40" s="3" t="s">
        <v>23</v>
      </c>
      <c r="C40" s="6" t="s">
        <v>51</v>
      </c>
      <c r="D40" s="23">
        <v>120</v>
      </c>
      <c r="E40" s="23">
        <v>120</v>
      </c>
      <c r="F40" s="9">
        <f aca="true" t="shared" si="4" ref="F40:F54">100-(E40/D40*100)</f>
        <v>0</v>
      </c>
      <c r="G40" s="20">
        <v>120</v>
      </c>
      <c r="H40" s="6" t="s">
        <v>164</v>
      </c>
      <c r="I40" s="4"/>
    </row>
    <row r="41" spans="1:9" s="14" customFormat="1" ht="78.75">
      <c r="A41" s="1">
        <v>36</v>
      </c>
      <c r="B41" s="3" t="s">
        <v>23</v>
      </c>
      <c r="C41" s="6" t="s">
        <v>55</v>
      </c>
      <c r="D41" s="23">
        <v>191.212</v>
      </c>
      <c r="E41" s="23">
        <v>191.212</v>
      </c>
      <c r="F41" s="9">
        <f t="shared" si="4"/>
        <v>0</v>
      </c>
      <c r="G41" s="20">
        <v>191.212</v>
      </c>
      <c r="H41" s="6" t="s">
        <v>165</v>
      </c>
      <c r="I41" s="4"/>
    </row>
    <row r="42" spans="1:9" s="14" customFormat="1" ht="78.75">
      <c r="A42" s="1">
        <v>37</v>
      </c>
      <c r="B42" s="3" t="s">
        <v>23</v>
      </c>
      <c r="C42" s="6" t="s">
        <v>54</v>
      </c>
      <c r="D42" s="23">
        <v>250</v>
      </c>
      <c r="E42" s="23">
        <f>D42</f>
        <v>250</v>
      </c>
      <c r="F42" s="9">
        <f t="shared" si="4"/>
        <v>0</v>
      </c>
      <c r="G42" s="20">
        <v>250</v>
      </c>
      <c r="H42" s="6" t="s">
        <v>171</v>
      </c>
      <c r="I42" s="4"/>
    </row>
    <row r="43" spans="1:9" s="14" customFormat="1" ht="141.75">
      <c r="A43" s="1">
        <v>38</v>
      </c>
      <c r="B43" s="3" t="s">
        <v>23</v>
      </c>
      <c r="C43" s="6" t="s">
        <v>7</v>
      </c>
      <c r="D43" s="28">
        <v>185.179</v>
      </c>
      <c r="E43" s="28">
        <v>185.179</v>
      </c>
      <c r="F43" s="9">
        <f t="shared" si="4"/>
        <v>0</v>
      </c>
      <c r="G43" s="20">
        <v>185.179</v>
      </c>
      <c r="H43" s="6" t="s">
        <v>166</v>
      </c>
      <c r="I43" s="4"/>
    </row>
    <row r="44" spans="1:9" s="14" customFormat="1" ht="110.25">
      <c r="A44" s="1">
        <v>39</v>
      </c>
      <c r="B44" s="3" t="s">
        <v>23</v>
      </c>
      <c r="C44" s="6" t="s">
        <v>118</v>
      </c>
      <c r="D44" s="28">
        <v>700</v>
      </c>
      <c r="E44" s="28">
        <f aca="true" t="shared" si="5" ref="E44:E49">D44</f>
        <v>700</v>
      </c>
      <c r="F44" s="9">
        <f>100-(E44/D44*100)</f>
        <v>0</v>
      </c>
      <c r="G44" s="20">
        <v>700</v>
      </c>
      <c r="H44" s="24" t="s">
        <v>167</v>
      </c>
      <c r="I44" s="4"/>
    </row>
    <row r="45" spans="1:9" s="14" customFormat="1" ht="78.75">
      <c r="A45" s="1">
        <v>40</v>
      </c>
      <c r="B45" s="3" t="s">
        <v>23</v>
      </c>
      <c r="C45" s="6" t="s">
        <v>168</v>
      </c>
      <c r="D45" s="28">
        <v>1500</v>
      </c>
      <c r="E45" s="28">
        <f t="shared" si="5"/>
        <v>1500</v>
      </c>
      <c r="F45" s="9">
        <f>100-(E45/D45*100)</f>
        <v>0</v>
      </c>
      <c r="G45" s="20">
        <v>1500</v>
      </c>
      <c r="H45" s="6" t="s">
        <v>170</v>
      </c>
      <c r="I45" s="4"/>
    </row>
    <row r="46" spans="1:9" s="14" customFormat="1" ht="78.75">
      <c r="A46" s="1">
        <v>41</v>
      </c>
      <c r="B46" s="3" t="s">
        <v>23</v>
      </c>
      <c r="C46" s="6" t="s">
        <v>169</v>
      </c>
      <c r="D46" s="28">
        <v>450</v>
      </c>
      <c r="E46" s="28">
        <f t="shared" si="5"/>
        <v>450</v>
      </c>
      <c r="F46" s="29">
        <f>100-(E46/D46*100)</f>
        <v>0</v>
      </c>
      <c r="G46" s="23">
        <v>450</v>
      </c>
      <c r="H46" s="24" t="s">
        <v>167</v>
      </c>
      <c r="I46" s="4"/>
    </row>
    <row r="47" spans="1:9" s="14" customFormat="1" ht="78.75">
      <c r="A47" s="1">
        <v>42</v>
      </c>
      <c r="B47" s="3" t="s">
        <v>172</v>
      </c>
      <c r="C47" s="6" t="s">
        <v>124</v>
      </c>
      <c r="D47" s="28">
        <v>1500</v>
      </c>
      <c r="E47" s="28">
        <f t="shared" si="5"/>
        <v>1500</v>
      </c>
      <c r="F47" s="29">
        <f>100-(E47/D47*100)</f>
        <v>0</v>
      </c>
      <c r="G47" s="23">
        <v>1500</v>
      </c>
      <c r="H47" s="24" t="s">
        <v>173</v>
      </c>
      <c r="I47" s="4"/>
    </row>
    <row r="48" spans="1:9" s="14" customFormat="1" ht="94.5">
      <c r="A48" s="1">
        <v>43</v>
      </c>
      <c r="B48" s="3" t="s">
        <v>86</v>
      </c>
      <c r="C48" s="6" t="s">
        <v>91</v>
      </c>
      <c r="D48" s="7">
        <v>5600</v>
      </c>
      <c r="E48" s="7">
        <f t="shared" si="5"/>
        <v>5600</v>
      </c>
      <c r="F48" s="9">
        <f t="shared" si="4"/>
        <v>0</v>
      </c>
      <c r="G48" s="20">
        <v>5600</v>
      </c>
      <c r="H48" s="6" t="s">
        <v>174</v>
      </c>
      <c r="I48" s="4"/>
    </row>
    <row r="49" spans="1:9" s="14" customFormat="1" ht="94.5">
      <c r="A49" s="1">
        <v>44</v>
      </c>
      <c r="B49" s="3" t="s">
        <v>86</v>
      </c>
      <c r="C49" s="6" t="s">
        <v>92</v>
      </c>
      <c r="D49" s="7">
        <v>4000</v>
      </c>
      <c r="E49" s="7">
        <f t="shared" si="5"/>
        <v>4000</v>
      </c>
      <c r="F49" s="9">
        <f>100-(E49/D49*100)</f>
        <v>0</v>
      </c>
      <c r="G49" s="20">
        <v>2900</v>
      </c>
      <c r="H49" s="6" t="s">
        <v>175</v>
      </c>
      <c r="I49" s="4"/>
    </row>
    <row r="50" spans="1:9" s="14" customFormat="1" ht="126">
      <c r="A50" s="1">
        <v>45</v>
      </c>
      <c r="B50" s="3" t="s">
        <v>86</v>
      </c>
      <c r="C50" s="6" t="s">
        <v>93</v>
      </c>
      <c r="D50" s="7">
        <v>500</v>
      </c>
      <c r="E50" s="7">
        <f>D50</f>
        <v>500</v>
      </c>
      <c r="F50" s="9">
        <f>100-(E50/D50*100)</f>
        <v>0</v>
      </c>
      <c r="G50" s="20">
        <v>500</v>
      </c>
      <c r="H50" s="6" t="s">
        <v>177</v>
      </c>
      <c r="I50" s="4"/>
    </row>
    <row r="51" spans="1:9" s="14" customFormat="1" ht="126">
      <c r="A51" s="1">
        <v>46</v>
      </c>
      <c r="B51" s="3" t="s">
        <v>86</v>
      </c>
      <c r="C51" s="6" t="s">
        <v>94</v>
      </c>
      <c r="D51" s="7">
        <v>1100</v>
      </c>
      <c r="E51" s="7">
        <f>D51</f>
        <v>1100</v>
      </c>
      <c r="F51" s="9">
        <f>100-(E51/D51*100)</f>
        <v>0</v>
      </c>
      <c r="G51" s="20">
        <v>1100</v>
      </c>
      <c r="H51" s="25" t="s">
        <v>176</v>
      </c>
      <c r="I51" s="4"/>
    </row>
    <row r="52" spans="1:9" s="14" customFormat="1" ht="63">
      <c r="A52" s="1">
        <v>47</v>
      </c>
      <c r="B52" s="3" t="s">
        <v>86</v>
      </c>
      <c r="C52" s="6" t="s">
        <v>96</v>
      </c>
      <c r="D52" s="7">
        <v>250</v>
      </c>
      <c r="E52" s="7">
        <f>D52</f>
        <v>250</v>
      </c>
      <c r="F52" s="9">
        <f>100-(E52/D52*100)</f>
        <v>0</v>
      </c>
      <c r="G52" s="20">
        <v>250</v>
      </c>
      <c r="H52" s="6" t="s">
        <v>178</v>
      </c>
      <c r="I52" s="4"/>
    </row>
    <row r="53" spans="1:9" s="14" customFormat="1" ht="47.25">
      <c r="A53" s="1">
        <v>48</v>
      </c>
      <c r="B53" s="3" t="s">
        <v>18</v>
      </c>
      <c r="C53" s="6" t="s">
        <v>64</v>
      </c>
      <c r="D53" s="20">
        <v>538.445</v>
      </c>
      <c r="E53" s="20">
        <f>D53-280</f>
        <v>258.44500000000005</v>
      </c>
      <c r="F53" s="9">
        <f t="shared" si="4"/>
        <v>52.001597191913746</v>
      </c>
      <c r="G53" s="20">
        <v>258.445</v>
      </c>
      <c r="H53" s="6" t="s">
        <v>179</v>
      </c>
      <c r="I53" s="4"/>
    </row>
    <row r="54" spans="1:9" s="14" customFormat="1" ht="63">
      <c r="A54" s="1">
        <v>49</v>
      </c>
      <c r="B54" s="3" t="s">
        <v>18</v>
      </c>
      <c r="C54" s="6" t="s">
        <v>67</v>
      </c>
      <c r="D54" s="20">
        <v>1946.149</v>
      </c>
      <c r="E54" s="20">
        <f>D54-93.871</f>
        <v>1852.2779999999998</v>
      </c>
      <c r="F54" s="9">
        <f t="shared" si="4"/>
        <v>4.8234230780890925</v>
      </c>
      <c r="G54" s="20">
        <v>1852.278</v>
      </c>
      <c r="H54" s="6" t="s">
        <v>72</v>
      </c>
      <c r="I54" s="4"/>
    </row>
    <row r="55" spans="1:9" s="14" customFormat="1" ht="63">
      <c r="A55" s="1">
        <v>50</v>
      </c>
      <c r="B55" s="3" t="s">
        <v>40</v>
      </c>
      <c r="C55" s="6" t="s">
        <v>65</v>
      </c>
      <c r="D55" s="7">
        <v>3500</v>
      </c>
      <c r="E55" s="7">
        <f>D55-238.796</f>
        <v>3261.204</v>
      </c>
      <c r="F55" s="9">
        <v>0</v>
      </c>
      <c r="G55" s="20">
        <v>3261.204</v>
      </c>
      <c r="H55" s="6" t="s">
        <v>180</v>
      </c>
      <c r="I55" s="4"/>
    </row>
    <row r="56" spans="1:9" s="14" customFormat="1" ht="94.5">
      <c r="A56" s="1">
        <v>51</v>
      </c>
      <c r="B56" s="3" t="s">
        <v>40</v>
      </c>
      <c r="C56" s="6" t="s">
        <v>3</v>
      </c>
      <c r="D56" s="7">
        <v>240</v>
      </c>
      <c r="E56" s="7">
        <f>D56</f>
        <v>240</v>
      </c>
      <c r="F56" s="9">
        <v>0</v>
      </c>
      <c r="G56" s="20">
        <v>240</v>
      </c>
      <c r="H56" s="6" t="s">
        <v>211</v>
      </c>
      <c r="I56" s="4"/>
    </row>
    <row r="57" spans="1:9" s="14" customFormat="1" ht="63">
      <c r="A57" s="1">
        <v>52</v>
      </c>
      <c r="B57" s="3" t="s">
        <v>44</v>
      </c>
      <c r="C57" s="6" t="s">
        <v>45</v>
      </c>
      <c r="D57" s="20">
        <v>2779.035</v>
      </c>
      <c r="E57" s="20">
        <f>D57-317.247-24.521</f>
        <v>2437.267</v>
      </c>
      <c r="F57" s="9">
        <v>0</v>
      </c>
      <c r="G57" s="20">
        <v>2437.267</v>
      </c>
      <c r="H57" s="6" t="s">
        <v>46</v>
      </c>
      <c r="I57" s="18"/>
    </row>
    <row r="58" spans="1:9" s="14" customFormat="1" ht="78.75">
      <c r="A58" s="1">
        <v>53</v>
      </c>
      <c r="B58" s="3" t="s">
        <v>111</v>
      </c>
      <c r="C58" s="6" t="s">
        <v>112</v>
      </c>
      <c r="D58" s="23">
        <v>300</v>
      </c>
      <c r="E58" s="23">
        <f>D58</f>
        <v>300</v>
      </c>
      <c r="F58" s="29">
        <v>0</v>
      </c>
      <c r="G58" s="23">
        <v>300</v>
      </c>
      <c r="H58" s="24" t="s">
        <v>167</v>
      </c>
      <c r="I58" s="18"/>
    </row>
    <row r="59" spans="1:9" s="14" customFormat="1" ht="78.75">
      <c r="A59" s="1">
        <v>54</v>
      </c>
      <c r="B59" s="3" t="s">
        <v>44</v>
      </c>
      <c r="C59" s="6" t="s">
        <v>113</v>
      </c>
      <c r="D59" s="23">
        <v>150</v>
      </c>
      <c r="E59" s="23">
        <f>D59</f>
        <v>150</v>
      </c>
      <c r="F59" s="29">
        <v>0</v>
      </c>
      <c r="G59" s="23">
        <v>150</v>
      </c>
      <c r="H59" s="24" t="s">
        <v>167</v>
      </c>
      <c r="I59" s="18"/>
    </row>
    <row r="60" spans="1:9" s="14" customFormat="1" ht="110.25">
      <c r="A60" s="1">
        <v>55</v>
      </c>
      <c r="B60" s="3" t="s">
        <v>42</v>
      </c>
      <c r="C60" s="6" t="s">
        <v>9</v>
      </c>
      <c r="D60" s="20">
        <v>5000</v>
      </c>
      <c r="E60" s="20">
        <f>D60-207.8</f>
        <v>4792.2</v>
      </c>
      <c r="F60" s="9">
        <f aca="true" t="shared" si="6" ref="F60:F75">100-(E60/D60*100)</f>
        <v>4.156000000000006</v>
      </c>
      <c r="G60" s="20">
        <v>4792</v>
      </c>
      <c r="H60" s="6" t="s">
        <v>181</v>
      </c>
      <c r="I60" s="18"/>
    </row>
    <row r="61" spans="1:9" s="14" customFormat="1" ht="94.5">
      <c r="A61" s="1">
        <v>56</v>
      </c>
      <c r="B61" s="3" t="s">
        <v>2</v>
      </c>
      <c r="C61" s="6" t="s">
        <v>53</v>
      </c>
      <c r="D61" s="20">
        <v>460</v>
      </c>
      <c r="E61" s="20">
        <v>460</v>
      </c>
      <c r="F61" s="9">
        <f t="shared" si="6"/>
        <v>0</v>
      </c>
      <c r="G61" s="20">
        <v>460</v>
      </c>
      <c r="H61" s="6" t="s">
        <v>182</v>
      </c>
      <c r="I61" s="4"/>
    </row>
    <row r="62" spans="1:9" s="14" customFormat="1" ht="78.75">
      <c r="A62" s="1">
        <v>57</v>
      </c>
      <c r="B62" s="3" t="s">
        <v>2</v>
      </c>
      <c r="C62" s="6" t="s">
        <v>52</v>
      </c>
      <c r="D62" s="20">
        <v>100</v>
      </c>
      <c r="E62" s="20">
        <v>100</v>
      </c>
      <c r="F62" s="9">
        <f t="shared" si="6"/>
        <v>0</v>
      </c>
      <c r="G62" s="20">
        <v>100</v>
      </c>
      <c r="H62" s="6" t="s">
        <v>183</v>
      </c>
      <c r="I62" s="4"/>
    </row>
    <row r="63" spans="1:9" s="14" customFormat="1" ht="94.5">
      <c r="A63" s="1">
        <v>58</v>
      </c>
      <c r="B63" s="3" t="s">
        <v>26</v>
      </c>
      <c r="C63" s="6" t="s">
        <v>10</v>
      </c>
      <c r="D63" s="20">
        <v>1600</v>
      </c>
      <c r="E63" s="20">
        <v>1600</v>
      </c>
      <c r="F63" s="9">
        <f t="shared" si="6"/>
        <v>0</v>
      </c>
      <c r="G63" s="20">
        <v>1600</v>
      </c>
      <c r="H63" s="6" t="s">
        <v>184</v>
      </c>
      <c r="I63" s="4"/>
    </row>
    <row r="64" spans="1:9" s="14" customFormat="1" ht="94.5">
      <c r="A64" s="1">
        <v>59</v>
      </c>
      <c r="B64" s="3" t="s">
        <v>26</v>
      </c>
      <c r="C64" s="15" t="s">
        <v>128</v>
      </c>
      <c r="D64" s="20">
        <v>8500</v>
      </c>
      <c r="E64" s="20">
        <f aca="true" t="shared" si="7" ref="E64:E69">D64</f>
        <v>8500</v>
      </c>
      <c r="F64" s="9">
        <f t="shared" si="6"/>
        <v>0</v>
      </c>
      <c r="G64" s="20">
        <v>4000</v>
      </c>
      <c r="H64" s="6" t="s">
        <v>185</v>
      </c>
      <c r="I64" s="4"/>
    </row>
    <row r="65" spans="1:9" s="14" customFormat="1" ht="78.75">
      <c r="A65" s="1">
        <v>60</v>
      </c>
      <c r="B65" s="3" t="s">
        <v>26</v>
      </c>
      <c r="C65" s="6" t="s">
        <v>130</v>
      </c>
      <c r="D65" s="20">
        <v>2300</v>
      </c>
      <c r="E65" s="20">
        <f t="shared" si="7"/>
        <v>2300</v>
      </c>
      <c r="F65" s="9">
        <f>100-(E65/D65*100)</f>
        <v>0</v>
      </c>
      <c r="G65" s="20">
        <v>2300</v>
      </c>
      <c r="H65" s="6" t="s">
        <v>186</v>
      </c>
      <c r="I65" s="4"/>
    </row>
    <row r="66" spans="1:9" s="14" customFormat="1" ht="78.75">
      <c r="A66" s="1">
        <v>61</v>
      </c>
      <c r="B66" s="3" t="s">
        <v>26</v>
      </c>
      <c r="C66" s="6" t="s">
        <v>137</v>
      </c>
      <c r="D66" s="20">
        <v>30</v>
      </c>
      <c r="E66" s="20">
        <f t="shared" si="7"/>
        <v>30</v>
      </c>
      <c r="F66" s="9">
        <f>100-(E66/D66*100)</f>
        <v>0</v>
      </c>
      <c r="G66" s="20">
        <v>30</v>
      </c>
      <c r="H66" s="6" t="s">
        <v>187</v>
      </c>
      <c r="I66" s="4"/>
    </row>
    <row r="67" spans="1:9" s="14" customFormat="1" ht="94.5">
      <c r="A67" s="1">
        <v>62</v>
      </c>
      <c r="B67" s="3" t="s">
        <v>26</v>
      </c>
      <c r="C67" s="6" t="s">
        <v>138</v>
      </c>
      <c r="D67" s="20">
        <v>30</v>
      </c>
      <c r="E67" s="20">
        <f t="shared" si="7"/>
        <v>30</v>
      </c>
      <c r="F67" s="9">
        <f>100-(E67/D67*100)</f>
        <v>0</v>
      </c>
      <c r="G67" s="20">
        <v>30</v>
      </c>
      <c r="H67" s="24" t="s">
        <v>121</v>
      </c>
      <c r="I67" s="4"/>
    </row>
    <row r="68" spans="1:9" s="14" customFormat="1" ht="78.75">
      <c r="A68" s="1">
        <v>63</v>
      </c>
      <c r="B68" s="3" t="s">
        <v>26</v>
      </c>
      <c r="C68" s="6" t="s">
        <v>139</v>
      </c>
      <c r="D68" s="20">
        <v>40</v>
      </c>
      <c r="E68" s="20">
        <f t="shared" si="7"/>
        <v>40</v>
      </c>
      <c r="F68" s="9">
        <f>100-(E68/D68*100)</f>
        <v>0</v>
      </c>
      <c r="G68" s="20">
        <v>40</v>
      </c>
      <c r="H68" s="24" t="s">
        <v>121</v>
      </c>
      <c r="I68" s="4"/>
    </row>
    <row r="69" spans="1:9" s="14" customFormat="1" ht="78.75">
      <c r="A69" s="1">
        <v>64</v>
      </c>
      <c r="B69" s="3" t="s">
        <v>26</v>
      </c>
      <c r="C69" s="6" t="s">
        <v>142</v>
      </c>
      <c r="D69" s="20">
        <v>3700</v>
      </c>
      <c r="E69" s="20">
        <f t="shared" si="7"/>
        <v>3700</v>
      </c>
      <c r="F69" s="9">
        <f>100-(E69/D69*100)</f>
        <v>0</v>
      </c>
      <c r="G69" s="20">
        <v>3700</v>
      </c>
      <c r="H69" s="6" t="s">
        <v>188</v>
      </c>
      <c r="I69" s="4"/>
    </row>
    <row r="70" spans="1:9" s="14" customFormat="1" ht="78.75">
      <c r="A70" s="1">
        <v>65</v>
      </c>
      <c r="B70" s="3" t="s">
        <v>78</v>
      </c>
      <c r="C70" s="6" t="s">
        <v>69</v>
      </c>
      <c r="D70" s="20">
        <v>290.702</v>
      </c>
      <c r="E70" s="20">
        <f>D70-4.388</f>
        <v>286.314</v>
      </c>
      <c r="F70" s="9">
        <f t="shared" si="6"/>
        <v>1.5094495393908574</v>
      </c>
      <c r="G70" s="20">
        <v>286.314</v>
      </c>
      <c r="H70" s="37" t="s">
        <v>70</v>
      </c>
      <c r="I70" s="18"/>
    </row>
    <row r="71" spans="1:9" s="14" customFormat="1" ht="47.25">
      <c r="A71" s="1">
        <v>66</v>
      </c>
      <c r="B71" s="3" t="s">
        <v>126</v>
      </c>
      <c r="C71" s="6" t="s">
        <v>190</v>
      </c>
      <c r="D71" s="20">
        <v>2497.638</v>
      </c>
      <c r="E71" s="20">
        <f>D71-47.473</f>
        <v>2450.165</v>
      </c>
      <c r="F71" s="9">
        <f t="shared" si="6"/>
        <v>1.9007157962843308</v>
      </c>
      <c r="G71" s="20">
        <v>2450.165</v>
      </c>
      <c r="H71" s="6" t="s">
        <v>189</v>
      </c>
      <c r="I71" s="18"/>
    </row>
    <row r="72" spans="1:9" s="14" customFormat="1" ht="78.75">
      <c r="A72" s="1">
        <v>67</v>
      </c>
      <c r="B72" s="3" t="s">
        <v>133</v>
      </c>
      <c r="C72" s="6" t="s">
        <v>134</v>
      </c>
      <c r="D72" s="20">
        <v>800</v>
      </c>
      <c r="E72" s="20">
        <f>D72</f>
        <v>800</v>
      </c>
      <c r="F72" s="9">
        <f t="shared" si="6"/>
        <v>0</v>
      </c>
      <c r="G72" s="20">
        <v>800</v>
      </c>
      <c r="H72" s="6" t="s">
        <v>191</v>
      </c>
      <c r="I72" s="18"/>
    </row>
    <row r="73" spans="1:9" s="14" customFormat="1" ht="63">
      <c r="A73" s="1">
        <v>68</v>
      </c>
      <c r="B73" s="3" t="s">
        <v>37</v>
      </c>
      <c r="C73" s="6" t="s">
        <v>36</v>
      </c>
      <c r="D73" s="20">
        <v>2060</v>
      </c>
      <c r="E73" s="20">
        <f>D73</f>
        <v>2060</v>
      </c>
      <c r="F73" s="9">
        <f t="shared" si="6"/>
        <v>0</v>
      </c>
      <c r="G73" s="20">
        <v>2060</v>
      </c>
      <c r="H73" s="6" t="s">
        <v>192</v>
      </c>
      <c r="I73" s="18"/>
    </row>
    <row r="74" spans="1:9" s="14" customFormat="1" ht="78.75">
      <c r="A74" s="1">
        <v>69</v>
      </c>
      <c r="B74" s="3" t="s">
        <v>25</v>
      </c>
      <c r="C74" s="6" t="s">
        <v>5</v>
      </c>
      <c r="D74" s="7">
        <f>2982.054+1550-70.317</f>
        <v>4461.737</v>
      </c>
      <c r="E74" s="7">
        <f>D74-2911.737</f>
        <v>1550</v>
      </c>
      <c r="F74" s="9">
        <f t="shared" si="6"/>
        <v>65.26016661224094</v>
      </c>
      <c r="G74" s="20">
        <v>1550</v>
      </c>
      <c r="H74" s="6" t="s">
        <v>193</v>
      </c>
      <c r="I74" s="4" t="s">
        <v>4</v>
      </c>
    </row>
    <row r="75" spans="1:9" s="14" customFormat="1" ht="94.5">
      <c r="A75" s="1">
        <v>70</v>
      </c>
      <c r="B75" s="3" t="s">
        <v>25</v>
      </c>
      <c r="C75" s="6" t="s">
        <v>97</v>
      </c>
      <c r="D75" s="7">
        <v>6500</v>
      </c>
      <c r="E75" s="7">
        <f>D75</f>
        <v>6500</v>
      </c>
      <c r="F75" s="9">
        <f t="shared" si="6"/>
        <v>0</v>
      </c>
      <c r="G75" s="20">
        <v>4000</v>
      </c>
      <c r="H75" s="6" t="s">
        <v>194</v>
      </c>
      <c r="I75" s="4"/>
    </row>
    <row r="76" spans="1:9" s="14" customFormat="1" ht="78.75">
      <c r="A76" s="1">
        <v>71</v>
      </c>
      <c r="B76" s="3" t="s">
        <v>25</v>
      </c>
      <c r="C76" s="6" t="s">
        <v>100</v>
      </c>
      <c r="D76" s="7">
        <v>1900</v>
      </c>
      <c r="E76" s="7">
        <f aca="true" t="shared" si="8" ref="E76:E84">D76</f>
        <v>1900</v>
      </c>
      <c r="F76" s="9">
        <f aca="true" t="shared" si="9" ref="F76:F83">100-(E76/D76*100)</f>
        <v>0</v>
      </c>
      <c r="G76" s="20">
        <v>1900</v>
      </c>
      <c r="H76" s="6" t="s">
        <v>195</v>
      </c>
      <c r="I76" s="4"/>
    </row>
    <row r="77" spans="1:9" s="14" customFormat="1" ht="78.75">
      <c r="A77" s="1">
        <v>72</v>
      </c>
      <c r="B77" s="3" t="s">
        <v>25</v>
      </c>
      <c r="C77" s="33" t="s">
        <v>99</v>
      </c>
      <c r="D77" s="7">
        <v>2200</v>
      </c>
      <c r="E77" s="7">
        <f t="shared" si="8"/>
        <v>2200</v>
      </c>
      <c r="F77" s="9">
        <f t="shared" si="9"/>
        <v>0</v>
      </c>
      <c r="G77" s="20">
        <v>2200</v>
      </c>
      <c r="H77" s="6" t="s">
        <v>196</v>
      </c>
      <c r="I77" s="4"/>
    </row>
    <row r="78" spans="1:9" s="14" customFormat="1" ht="78.75">
      <c r="A78" s="1">
        <v>73</v>
      </c>
      <c r="B78" s="3" t="s">
        <v>25</v>
      </c>
      <c r="C78" s="6" t="s">
        <v>98</v>
      </c>
      <c r="D78" s="7">
        <v>1600</v>
      </c>
      <c r="E78" s="7">
        <f>D78</f>
        <v>1600</v>
      </c>
      <c r="F78" s="9">
        <f>100-(E78/D78*100)</f>
        <v>0</v>
      </c>
      <c r="G78" s="20">
        <v>1600</v>
      </c>
      <c r="H78" s="6" t="s">
        <v>197</v>
      </c>
      <c r="I78" s="4"/>
    </row>
    <row r="79" spans="1:9" s="14" customFormat="1" ht="63">
      <c r="A79" s="1">
        <v>74</v>
      </c>
      <c r="B79" s="3" t="s">
        <v>25</v>
      </c>
      <c r="C79" s="6" t="s">
        <v>101</v>
      </c>
      <c r="D79" s="7">
        <v>1490</v>
      </c>
      <c r="E79" s="7">
        <f t="shared" si="8"/>
        <v>1490</v>
      </c>
      <c r="F79" s="9">
        <f t="shared" si="9"/>
        <v>0</v>
      </c>
      <c r="G79" s="20">
        <v>1490</v>
      </c>
      <c r="H79" s="6" t="s">
        <v>198</v>
      </c>
      <c r="I79" s="4"/>
    </row>
    <row r="80" spans="1:9" s="14" customFormat="1" ht="78.75">
      <c r="A80" s="1">
        <v>75</v>
      </c>
      <c r="B80" s="3" t="s">
        <v>25</v>
      </c>
      <c r="C80" s="6" t="s">
        <v>102</v>
      </c>
      <c r="D80" s="7">
        <v>1100</v>
      </c>
      <c r="E80" s="7">
        <f t="shared" si="8"/>
        <v>1100</v>
      </c>
      <c r="F80" s="9">
        <f t="shared" si="9"/>
        <v>0</v>
      </c>
      <c r="G80" s="20">
        <v>1100</v>
      </c>
      <c r="H80" s="6" t="s">
        <v>199</v>
      </c>
      <c r="I80" s="4"/>
    </row>
    <row r="81" spans="1:9" s="14" customFormat="1" ht="63">
      <c r="A81" s="1">
        <v>76</v>
      </c>
      <c r="B81" s="3" t="s">
        <v>25</v>
      </c>
      <c r="C81" s="6" t="s">
        <v>105</v>
      </c>
      <c r="D81" s="7">
        <v>1190</v>
      </c>
      <c r="E81" s="7">
        <f t="shared" si="8"/>
        <v>1190</v>
      </c>
      <c r="F81" s="9">
        <f t="shared" si="9"/>
        <v>0</v>
      </c>
      <c r="G81" s="20">
        <v>1190</v>
      </c>
      <c r="H81" s="6" t="s">
        <v>198</v>
      </c>
      <c r="I81" s="4"/>
    </row>
    <row r="82" spans="1:9" s="14" customFormat="1" ht="63">
      <c r="A82" s="1">
        <v>77</v>
      </c>
      <c r="B82" s="3" t="s">
        <v>25</v>
      </c>
      <c r="C82" s="6" t="s">
        <v>104</v>
      </c>
      <c r="D82" s="7">
        <v>1620</v>
      </c>
      <c r="E82" s="7">
        <f t="shared" si="8"/>
        <v>1620</v>
      </c>
      <c r="F82" s="9">
        <f t="shared" si="9"/>
        <v>0</v>
      </c>
      <c r="G82" s="20">
        <v>1620</v>
      </c>
      <c r="H82" s="6" t="s">
        <v>200</v>
      </c>
      <c r="I82" s="4"/>
    </row>
    <row r="83" spans="1:9" s="14" customFormat="1" ht="78.75">
      <c r="A83" s="1">
        <v>78</v>
      </c>
      <c r="B83" s="3" t="s">
        <v>25</v>
      </c>
      <c r="C83" s="33" t="s">
        <v>103</v>
      </c>
      <c r="D83" s="7">
        <v>2000</v>
      </c>
      <c r="E83" s="7">
        <f t="shared" si="8"/>
        <v>2000</v>
      </c>
      <c r="F83" s="9">
        <f t="shared" si="9"/>
        <v>0</v>
      </c>
      <c r="G83" s="20">
        <v>2000</v>
      </c>
      <c r="H83" s="6" t="s">
        <v>201</v>
      </c>
      <c r="I83" s="4"/>
    </row>
    <row r="84" spans="1:9" s="14" customFormat="1" ht="94.5">
      <c r="A84" s="1">
        <v>79</v>
      </c>
      <c r="B84" s="3" t="s">
        <v>25</v>
      </c>
      <c r="C84" s="6" t="s">
        <v>106</v>
      </c>
      <c r="D84" s="7">
        <v>320</v>
      </c>
      <c r="E84" s="7">
        <f t="shared" si="8"/>
        <v>320</v>
      </c>
      <c r="F84" s="9">
        <f aca="true" t="shared" si="10" ref="F84:F98">100-(E84/D84*100)</f>
        <v>0</v>
      </c>
      <c r="G84" s="20">
        <v>320</v>
      </c>
      <c r="H84" s="24" t="s">
        <v>202</v>
      </c>
      <c r="I84" s="4"/>
    </row>
    <row r="85" spans="1:9" s="14" customFormat="1" ht="94.5">
      <c r="A85" s="1">
        <v>80</v>
      </c>
      <c r="B85" s="3" t="s">
        <v>6</v>
      </c>
      <c r="C85" s="6" t="s">
        <v>8</v>
      </c>
      <c r="D85" s="7">
        <v>1600</v>
      </c>
      <c r="E85" s="7">
        <v>1600</v>
      </c>
      <c r="F85" s="9">
        <f t="shared" si="10"/>
        <v>0</v>
      </c>
      <c r="G85" s="20">
        <v>1600</v>
      </c>
      <c r="H85" s="6" t="s">
        <v>203</v>
      </c>
      <c r="I85" s="4"/>
    </row>
    <row r="86" spans="1:9" s="14" customFormat="1" ht="94.5">
      <c r="A86" s="1">
        <v>81</v>
      </c>
      <c r="B86" s="3" t="s">
        <v>6</v>
      </c>
      <c r="C86" s="6" t="s">
        <v>110</v>
      </c>
      <c r="D86" s="7">
        <v>200</v>
      </c>
      <c r="E86" s="7">
        <f>D86</f>
        <v>200</v>
      </c>
      <c r="F86" s="9">
        <f t="shared" si="10"/>
        <v>0</v>
      </c>
      <c r="G86" s="20">
        <v>200</v>
      </c>
      <c r="H86" s="24" t="s">
        <v>202</v>
      </c>
      <c r="I86" s="4"/>
    </row>
    <row r="87" spans="1:9" s="14" customFormat="1" ht="47.25">
      <c r="A87" s="1">
        <v>82</v>
      </c>
      <c r="B87" s="3" t="s">
        <v>6</v>
      </c>
      <c r="C87" s="6" t="s">
        <v>125</v>
      </c>
      <c r="D87" s="7">
        <v>100</v>
      </c>
      <c r="E87" s="7">
        <f>D87</f>
        <v>100</v>
      </c>
      <c r="F87" s="9">
        <f t="shared" si="10"/>
        <v>0</v>
      </c>
      <c r="G87" s="20">
        <v>100</v>
      </c>
      <c r="H87" s="24" t="s">
        <v>202</v>
      </c>
      <c r="I87" s="4"/>
    </row>
    <row r="88" spans="1:9" s="14" customFormat="1" ht="78.75">
      <c r="A88" s="1">
        <v>83</v>
      </c>
      <c r="B88" s="3" t="s">
        <v>120</v>
      </c>
      <c r="C88" s="6" t="s">
        <v>123</v>
      </c>
      <c r="D88" s="7">
        <v>650</v>
      </c>
      <c r="E88" s="7">
        <f>D88</f>
        <v>650</v>
      </c>
      <c r="F88" s="9">
        <f t="shared" si="10"/>
        <v>0</v>
      </c>
      <c r="G88" s="20">
        <v>650</v>
      </c>
      <c r="H88" s="24" t="s">
        <v>202</v>
      </c>
      <c r="I88" s="4"/>
    </row>
    <row r="89" spans="1:9" s="14" customFormat="1" ht="94.5">
      <c r="A89" s="1">
        <v>84</v>
      </c>
      <c r="B89" s="3" t="s">
        <v>120</v>
      </c>
      <c r="C89" s="6" t="s">
        <v>122</v>
      </c>
      <c r="D89" s="7">
        <v>700</v>
      </c>
      <c r="E89" s="7">
        <f>D89</f>
        <v>700</v>
      </c>
      <c r="F89" s="9">
        <f t="shared" si="10"/>
        <v>0</v>
      </c>
      <c r="G89" s="20">
        <v>700</v>
      </c>
      <c r="H89" s="24" t="s">
        <v>202</v>
      </c>
      <c r="I89" s="4"/>
    </row>
    <row r="90" spans="1:9" s="14" customFormat="1" ht="78.75">
      <c r="A90" s="1">
        <v>85</v>
      </c>
      <c r="B90" s="3" t="s">
        <v>117</v>
      </c>
      <c r="C90" s="6" t="s">
        <v>119</v>
      </c>
      <c r="D90" s="7">
        <v>400</v>
      </c>
      <c r="E90" s="7">
        <f>D90</f>
        <v>400</v>
      </c>
      <c r="F90" s="9">
        <f t="shared" si="10"/>
        <v>0</v>
      </c>
      <c r="G90" s="20">
        <v>400</v>
      </c>
      <c r="H90" s="24" t="s">
        <v>202</v>
      </c>
      <c r="I90" s="4"/>
    </row>
    <row r="91" spans="1:9" s="14" customFormat="1" ht="94.5">
      <c r="A91" s="1">
        <v>86</v>
      </c>
      <c r="B91" s="3" t="s">
        <v>218</v>
      </c>
      <c r="C91" s="6" t="s">
        <v>114</v>
      </c>
      <c r="D91" s="20">
        <f>9459.785+7000-369.681</f>
        <v>16090.104</v>
      </c>
      <c r="E91" s="20">
        <f>D91-9090.104</f>
        <v>7000</v>
      </c>
      <c r="F91" s="9">
        <f>100-(E91/D91*100)</f>
        <v>56.49499841641794</v>
      </c>
      <c r="G91" s="20">
        <v>7000</v>
      </c>
      <c r="H91" s="6" t="s">
        <v>207</v>
      </c>
      <c r="I91" s="4"/>
    </row>
    <row r="92" spans="1:9" s="14" customFormat="1" ht="94.5">
      <c r="A92" s="1">
        <v>87</v>
      </c>
      <c r="B92" s="3" t="s">
        <v>218</v>
      </c>
      <c r="C92" s="6" t="s">
        <v>116</v>
      </c>
      <c r="D92" s="20">
        <v>600</v>
      </c>
      <c r="E92" s="20">
        <f>D92</f>
        <v>600</v>
      </c>
      <c r="F92" s="9">
        <f>100-(E92/D92*100)</f>
        <v>0</v>
      </c>
      <c r="G92" s="20">
        <v>600</v>
      </c>
      <c r="H92" s="6" t="s">
        <v>208</v>
      </c>
      <c r="I92" s="4"/>
    </row>
    <row r="93" spans="1:9" s="14" customFormat="1" ht="94.5">
      <c r="A93" s="1">
        <v>88</v>
      </c>
      <c r="B93" s="3" t="s">
        <v>218</v>
      </c>
      <c r="C93" s="6" t="s">
        <v>115</v>
      </c>
      <c r="D93" s="20">
        <v>600</v>
      </c>
      <c r="E93" s="20">
        <f>D93</f>
        <v>600</v>
      </c>
      <c r="F93" s="9">
        <f>100-(E93/D93*100)</f>
        <v>0</v>
      </c>
      <c r="G93" s="20">
        <v>600</v>
      </c>
      <c r="H93" s="6" t="s">
        <v>209</v>
      </c>
      <c r="I93" s="4"/>
    </row>
    <row r="94" spans="1:9" s="14" customFormat="1" ht="63">
      <c r="A94" s="1">
        <v>89</v>
      </c>
      <c r="B94" s="3" t="s">
        <v>27</v>
      </c>
      <c r="C94" s="6" t="s">
        <v>61</v>
      </c>
      <c r="D94" s="20">
        <v>4691.8</v>
      </c>
      <c r="E94" s="20">
        <f>4691.8-1520</f>
        <v>3171.8</v>
      </c>
      <c r="F94" s="9">
        <f t="shared" si="10"/>
        <v>32.396947866490464</v>
      </c>
      <c r="G94" s="20">
        <v>3171.8</v>
      </c>
      <c r="H94" s="6" t="s">
        <v>47</v>
      </c>
      <c r="I94" s="4"/>
    </row>
    <row r="95" spans="1:9" s="14" customFormat="1" ht="110.25">
      <c r="A95" s="1">
        <v>90</v>
      </c>
      <c r="B95" s="3" t="s">
        <v>27</v>
      </c>
      <c r="C95" s="6" t="s">
        <v>0</v>
      </c>
      <c r="D95" s="20">
        <v>3800</v>
      </c>
      <c r="E95" s="20">
        <f>D95</f>
        <v>3800</v>
      </c>
      <c r="F95" s="9">
        <f t="shared" si="10"/>
        <v>0</v>
      </c>
      <c r="G95" s="20">
        <v>3800</v>
      </c>
      <c r="H95" s="6" t="s">
        <v>204</v>
      </c>
      <c r="I95" s="4"/>
    </row>
    <row r="96" spans="1:9" s="14" customFormat="1" ht="110.25">
      <c r="A96" s="1">
        <v>91</v>
      </c>
      <c r="B96" s="3" t="s">
        <v>27</v>
      </c>
      <c r="C96" s="6" t="s">
        <v>1</v>
      </c>
      <c r="D96" s="20">
        <v>400</v>
      </c>
      <c r="E96" s="20">
        <f>D96</f>
        <v>400</v>
      </c>
      <c r="F96" s="9">
        <f t="shared" si="10"/>
        <v>0</v>
      </c>
      <c r="G96" s="20">
        <v>400</v>
      </c>
      <c r="H96" s="6" t="s">
        <v>205</v>
      </c>
      <c r="I96" s="4"/>
    </row>
    <row r="97" spans="1:9" s="14" customFormat="1" ht="63">
      <c r="A97" s="1">
        <v>92</v>
      </c>
      <c r="B97" s="3" t="s">
        <v>27</v>
      </c>
      <c r="C97" s="6" t="s">
        <v>76</v>
      </c>
      <c r="D97" s="20">
        <v>8500</v>
      </c>
      <c r="E97" s="20">
        <f>D97-400.791</f>
        <v>8099.209</v>
      </c>
      <c r="F97" s="9">
        <f t="shared" si="10"/>
        <v>4.7151882352941215</v>
      </c>
      <c r="G97" s="20">
        <v>8099.209</v>
      </c>
      <c r="H97" s="6" t="s">
        <v>206</v>
      </c>
      <c r="I97" s="4"/>
    </row>
    <row r="98" spans="1:9" s="14" customFormat="1" ht="63">
      <c r="A98" s="1">
        <v>93</v>
      </c>
      <c r="B98" s="3" t="s">
        <v>24</v>
      </c>
      <c r="C98" s="6" t="s">
        <v>63</v>
      </c>
      <c r="D98" s="20">
        <v>4771.333</v>
      </c>
      <c r="E98" s="20">
        <f>D98-1660</f>
        <v>3111.3329999999996</v>
      </c>
      <c r="F98" s="9">
        <f t="shared" si="10"/>
        <v>34.79111602564734</v>
      </c>
      <c r="G98" s="20">
        <v>3111.3</v>
      </c>
      <c r="H98" s="11" t="s">
        <v>73</v>
      </c>
      <c r="I98" s="4"/>
    </row>
    <row r="101" spans="2:10" ht="40.5" customHeight="1">
      <c r="B101" s="149" t="s">
        <v>39</v>
      </c>
      <c r="C101" s="149"/>
      <c r="D101" s="149"/>
      <c r="E101" s="149"/>
      <c r="H101" s="18" t="s">
        <v>31</v>
      </c>
      <c r="J101" s="18"/>
    </row>
    <row r="102" spans="8:10" ht="15.75">
      <c r="H102" s="18"/>
      <c r="J102" s="18"/>
    </row>
    <row r="103" spans="1:3" ht="15.75">
      <c r="A103" s="18"/>
      <c r="C103" s="19"/>
    </row>
  </sheetData>
  <sheetProtection/>
  <mergeCells count="2">
    <mergeCell ref="A1:H1"/>
    <mergeCell ref="B101:E101"/>
  </mergeCells>
  <printOptions/>
  <pageMargins left="0.2755905511811024" right="0.2" top="0.3" bottom="0.23" header="0.27" footer="0.15748031496062992"/>
  <pageSetup horizontalDpi="600" verticalDpi="600" orientation="landscape" paperSize="9" scale="69" r:id="rId1"/>
</worksheet>
</file>

<file path=xl/worksheets/sheet5.xml><?xml version="1.0" encoding="utf-8"?>
<worksheet xmlns="http://schemas.openxmlformats.org/spreadsheetml/2006/main" xmlns:r="http://schemas.openxmlformats.org/officeDocument/2006/relationships">
  <sheetPr>
    <tabColor indexed="26"/>
  </sheetPr>
  <dimension ref="A1:J34"/>
  <sheetViews>
    <sheetView zoomScale="70" zoomScaleNormal="70" zoomScaleSheetLayoutView="50" zoomScalePageLayoutView="0" workbookViewId="0" topLeftCell="A3">
      <pane xSplit="3" ySplit="2" topLeftCell="D5"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48" t="s">
        <v>57</v>
      </c>
      <c r="B1" s="148"/>
      <c r="C1" s="148"/>
      <c r="D1" s="148"/>
      <c r="E1" s="148"/>
      <c r="F1" s="148"/>
      <c r="G1" s="148"/>
      <c r="H1" s="148"/>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SUM(D6:D29)</f>
        <v>189375.857</v>
      </c>
      <c r="E5" s="22">
        <f>SUM(E6:E29)</f>
        <v>132191.783</v>
      </c>
      <c r="F5" s="22" t="s">
        <v>30</v>
      </c>
      <c r="G5" s="22">
        <f>SUM(G6:G29)</f>
        <v>61824.35400000001</v>
      </c>
      <c r="H5" s="10"/>
      <c r="J5" s="13" t="e">
        <f>I5-#REF!</f>
        <v>#REF!</v>
      </c>
    </row>
    <row r="6" spans="1:9" s="14" customFormat="1" ht="189">
      <c r="A6" s="1">
        <v>1</v>
      </c>
      <c r="B6" s="3" t="s">
        <v>20</v>
      </c>
      <c r="C6" s="15" t="s">
        <v>34</v>
      </c>
      <c r="D6" s="20">
        <v>27620.08</v>
      </c>
      <c r="E6" s="20">
        <f>D6-79.166-2972.875</f>
        <v>24568.039</v>
      </c>
      <c r="F6" s="9">
        <f aca="true" t="shared" si="0" ref="F6:F17">100-(E6/D6*100)</f>
        <v>11.050080231483761</v>
      </c>
      <c r="G6" s="20">
        <v>8497.375</v>
      </c>
      <c r="H6" s="6" t="s">
        <v>59</v>
      </c>
      <c r="I6" s="7"/>
    </row>
    <row r="7" spans="1:9" s="14" customFormat="1" ht="110.25">
      <c r="A7" s="1">
        <v>2</v>
      </c>
      <c r="B7" s="3" t="s">
        <v>20</v>
      </c>
      <c r="C7" s="6" t="s">
        <v>21</v>
      </c>
      <c r="D7" s="20">
        <v>7706.785</v>
      </c>
      <c r="E7" s="20">
        <f>D7-95.619-4404.381</f>
        <v>3206.785</v>
      </c>
      <c r="F7" s="9">
        <f t="shared" si="0"/>
        <v>58.390106899310155</v>
      </c>
      <c r="G7" s="20">
        <v>3206.785</v>
      </c>
      <c r="H7" s="6" t="s">
        <v>48</v>
      </c>
      <c r="I7" s="7"/>
    </row>
    <row r="8" spans="1:9" s="14" customFormat="1" ht="63">
      <c r="A8" s="1">
        <v>3</v>
      </c>
      <c r="B8" s="3" t="s">
        <v>20</v>
      </c>
      <c r="C8" s="6" t="s">
        <v>85</v>
      </c>
      <c r="D8" s="20">
        <v>1387</v>
      </c>
      <c r="E8" s="20">
        <f>1387-87</f>
        <v>1300</v>
      </c>
      <c r="F8" s="9">
        <f t="shared" si="0"/>
        <v>6.272530641672674</v>
      </c>
      <c r="G8" s="20">
        <v>1300</v>
      </c>
      <c r="H8" s="6" t="s">
        <v>149</v>
      </c>
      <c r="I8" s="7"/>
    </row>
    <row r="9" spans="1:9" s="14" customFormat="1" ht="47.25">
      <c r="A9" s="1">
        <v>4</v>
      </c>
      <c r="B9" s="3" t="s">
        <v>28</v>
      </c>
      <c r="C9" s="6" t="s">
        <v>62</v>
      </c>
      <c r="D9" s="20">
        <v>14117.909</v>
      </c>
      <c r="E9" s="20">
        <f>D9-2770</f>
        <v>11347.909</v>
      </c>
      <c r="F9" s="9">
        <f t="shared" si="0"/>
        <v>19.62046929187602</v>
      </c>
      <c r="G9" s="20">
        <v>4000</v>
      </c>
      <c r="H9" s="6" t="s">
        <v>74</v>
      </c>
      <c r="I9" s="7"/>
    </row>
    <row r="10" spans="1:9" s="14" customFormat="1" ht="236.25">
      <c r="A10" s="1">
        <v>5</v>
      </c>
      <c r="B10" s="3" t="s">
        <v>28</v>
      </c>
      <c r="C10" s="15" t="s">
        <v>29</v>
      </c>
      <c r="D10" s="20">
        <v>70790.65</v>
      </c>
      <c r="E10" s="20">
        <f>D10-18842.403</f>
        <v>51948.246999999996</v>
      </c>
      <c r="F10" s="9">
        <f t="shared" si="0"/>
        <v>26.61707866787492</v>
      </c>
      <c r="G10" s="20">
        <v>5000</v>
      </c>
      <c r="H10" s="6" t="s">
        <v>50</v>
      </c>
      <c r="I10" s="7"/>
    </row>
    <row r="11" spans="1:9" s="14" customFormat="1" ht="47.25">
      <c r="A11" s="1">
        <v>6</v>
      </c>
      <c r="B11" s="3" t="s">
        <v>28</v>
      </c>
      <c r="C11" s="15" t="s">
        <v>131</v>
      </c>
      <c r="D11" s="20">
        <v>947.597</v>
      </c>
      <c r="E11" s="20">
        <f>D11-15.624</f>
        <v>931.973</v>
      </c>
      <c r="F11" s="9">
        <f t="shared" si="0"/>
        <v>1.6488021806738544</v>
      </c>
      <c r="G11" s="20">
        <v>931.597</v>
      </c>
      <c r="H11" s="11" t="s">
        <v>219</v>
      </c>
      <c r="I11" s="32"/>
    </row>
    <row r="12" spans="1:9" s="14" customFormat="1" ht="78.75">
      <c r="A12" s="1">
        <v>7</v>
      </c>
      <c r="B12" s="3" t="s">
        <v>28</v>
      </c>
      <c r="C12" s="15" t="s">
        <v>132</v>
      </c>
      <c r="D12" s="20">
        <v>126.086</v>
      </c>
      <c r="E12" s="20">
        <f>D12-6.943</f>
        <v>119.143</v>
      </c>
      <c r="F12" s="9">
        <f t="shared" si="0"/>
        <v>5.506559015275286</v>
      </c>
      <c r="G12" s="20">
        <v>119.143</v>
      </c>
      <c r="H12" s="11" t="s">
        <v>220</v>
      </c>
      <c r="I12" s="32"/>
    </row>
    <row r="13" spans="1:9" s="14" customFormat="1" ht="78.75">
      <c r="A13" s="1">
        <v>8</v>
      </c>
      <c r="B13" s="3" t="s">
        <v>28</v>
      </c>
      <c r="C13" s="15" t="s">
        <v>135</v>
      </c>
      <c r="D13" s="20">
        <v>383.911</v>
      </c>
      <c r="E13" s="20">
        <f>D13-25.723</f>
        <v>358.188</v>
      </c>
      <c r="F13" s="9">
        <f t="shared" si="0"/>
        <v>6.700250839387252</v>
      </c>
      <c r="G13" s="20">
        <v>358.188</v>
      </c>
      <c r="H13" s="11" t="s">
        <v>136</v>
      </c>
      <c r="I13" s="32"/>
    </row>
    <row r="14" spans="1:9" s="14" customFormat="1" ht="47.25">
      <c r="A14" s="1">
        <v>9</v>
      </c>
      <c r="B14" s="3" t="s">
        <v>28</v>
      </c>
      <c r="C14" s="15" t="s">
        <v>144</v>
      </c>
      <c r="D14" s="20">
        <v>180</v>
      </c>
      <c r="E14" s="20">
        <f>D14-20</f>
        <v>160</v>
      </c>
      <c r="F14" s="9">
        <f t="shared" si="0"/>
        <v>11.111111111111114</v>
      </c>
      <c r="G14" s="20">
        <v>160</v>
      </c>
      <c r="H14" s="39" t="s">
        <v>221</v>
      </c>
      <c r="I14" s="32"/>
    </row>
    <row r="15" spans="1:9" s="14" customFormat="1" ht="47.25">
      <c r="A15" s="1">
        <v>10</v>
      </c>
      <c r="B15" s="3" t="s">
        <v>23</v>
      </c>
      <c r="C15" s="15" t="s">
        <v>35</v>
      </c>
      <c r="D15" s="20">
        <v>14260.633</v>
      </c>
      <c r="E15" s="20">
        <f>D15-21.353-13957.996</f>
        <v>281.28400000000147</v>
      </c>
      <c r="F15" s="9">
        <f t="shared" si="0"/>
        <v>98.02754898748182</v>
      </c>
      <c r="G15" s="20">
        <v>281.284</v>
      </c>
      <c r="H15" s="11" t="s">
        <v>38</v>
      </c>
      <c r="I15" s="4"/>
    </row>
    <row r="16" spans="1:9" s="14" customFormat="1" ht="78.75">
      <c r="A16" s="1">
        <v>11</v>
      </c>
      <c r="B16" s="3" t="s">
        <v>23</v>
      </c>
      <c r="C16" s="6" t="s">
        <v>54</v>
      </c>
      <c r="D16" s="23">
        <v>250</v>
      </c>
      <c r="E16" s="23">
        <f>D16</f>
        <v>250</v>
      </c>
      <c r="F16" s="9">
        <f t="shared" si="0"/>
        <v>0</v>
      </c>
      <c r="G16" s="20">
        <v>250</v>
      </c>
      <c r="H16" s="6" t="s">
        <v>171</v>
      </c>
      <c r="I16" s="4"/>
    </row>
    <row r="17" spans="1:9" s="14" customFormat="1" ht="47.25">
      <c r="A17" s="1">
        <v>12</v>
      </c>
      <c r="B17" s="3" t="s">
        <v>18</v>
      </c>
      <c r="C17" s="6" t="s">
        <v>64</v>
      </c>
      <c r="D17" s="20">
        <v>538.445</v>
      </c>
      <c r="E17" s="20">
        <f>D17-280</f>
        <v>258.44500000000005</v>
      </c>
      <c r="F17" s="9">
        <f t="shared" si="0"/>
        <v>52.001597191913746</v>
      </c>
      <c r="G17" s="20">
        <v>258.445</v>
      </c>
      <c r="H17" s="6" t="s">
        <v>179</v>
      </c>
      <c r="I17" s="4"/>
    </row>
    <row r="18" spans="1:9" s="14" customFormat="1" ht="63">
      <c r="A18" s="1">
        <v>13</v>
      </c>
      <c r="B18" s="3" t="s">
        <v>40</v>
      </c>
      <c r="C18" s="6" t="s">
        <v>65</v>
      </c>
      <c r="D18" s="7">
        <v>3500</v>
      </c>
      <c r="E18" s="7">
        <f>D18-238.796</f>
        <v>3261.204</v>
      </c>
      <c r="F18" s="9">
        <v>0</v>
      </c>
      <c r="G18" s="20">
        <v>3261.204</v>
      </c>
      <c r="H18" s="6" t="s">
        <v>180</v>
      </c>
      <c r="I18" s="4"/>
    </row>
    <row r="19" spans="1:9" s="14" customFormat="1" ht="63">
      <c r="A19" s="1">
        <v>14</v>
      </c>
      <c r="B19" s="3" t="s">
        <v>18</v>
      </c>
      <c r="C19" s="6" t="s">
        <v>67</v>
      </c>
      <c r="D19" s="20">
        <v>1946.149</v>
      </c>
      <c r="E19" s="20">
        <f>D19-93.871</f>
        <v>1852.2779999999998</v>
      </c>
      <c r="F19" s="9">
        <f>100-(E19/D19*100)</f>
        <v>4.8234230780890925</v>
      </c>
      <c r="G19" s="20">
        <v>1852.278</v>
      </c>
      <c r="H19" s="6" t="s">
        <v>72</v>
      </c>
      <c r="I19" s="4"/>
    </row>
    <row r="20" spans="1:9" s="14" customFormat="1" ht="63">
      <c r="A20" s="1">
        <v>15</v>
      </c>
      <c r="B20" s="3" t="s">
        <v>44</v>
      </c>
      <c r="C20" s="6" t="s">
        <v>45</v>
      </c>
      <c r="D20" s="20">
        <v>2779.035</v>
      </c>
      <c r="E20" s="20">
        <f>D20-317.247-24.521</f>
        <v>2437.267</v>
      </c>
      <c r="F20" s="9">
        <v>0</v>
      </c>
      <c r="G20" s="20">
        <v>2437.267</v>
      </c>
      <c r="H20" s="6" t="s">
        <v>46</v>
      </c>
      <c r="I20" s="18"/>
    </row>
    <row r="21" spans="1:9" s="14" customFormat="1" ht="78.75">
      <c r="A21" s="1">
        <v>16</v>
      </c>
      <c r="B21" s="3" t="s">
        <v>111</v>
      </c>
      <c r="C21" s="6" t="s">
        <v>112</v>
      </c>
      <c r="D21" s="23">
        <v>300</v>
      </c>
      <c r="E21" s="23">
        <f>D21</f>
        <v>300</v>
      </c>
      <c r="F21" s="29">
        <v>0</v>
      </c>
      <c r="G21" s="23">
        <v>300</v>
      </c>
      <c r="H21" s="24" t="s">
        <v>167</v>
      </c>
      <c r="I21" s="18"/>
    </row>
    <row r="22" spans="1:9" s="14" customFormat="1" ht="110.25">
      <c r="A22" s="1">
        <v>17</v>
      </c>
      <c r="B22" s="3" t="s">
        <v>42</v>
      </c>
      <c r="C22" s="6" t="s">
        <v>9</v>
      </c>
      <c r="D22" s="20">
        <v>5000</v>
      </c>
      <c r="E22" s="20">
        <f>D22-207.8</f>
        <v>4792.2</v>
      </c>
      <c r="F22" s="9">
        <f aca="true" t="shared" si="1" ref="F22:F28">100-(E22/D22*100)</f>
        <v>4.156000000000006</v>
      </c>
      <c r="G22" s="20">
        <v>4792</v>
      </c>
      <c r="H22" s="6" t="s">
        <v>181</v>
      </c>
      <c r="I22" s="18"/>
    </row>
    <row r="23" spans="1:9" s="14" customFormat="1" ht="78.75">
      <c r="A23" s="1">
        <v>18</v>
      </c>
      <c r="B23" s="3" t="s">
        <v>78</v>
      </c>
      <c r="C23" s="6" t="s">
        <v>69</v>
      </c>
      <c r="D23" s="20">
        <v>290.702</v>
      </c>
      <c r="E23" s="20">
        <f>D23-4.388</f>
        <v>286.314</v>
      </c>
      <c r="F23" s="9">
        <f t="shared" si="1"/>
        <v>1.5094495393908574</v>
      </c>
      <c r="G23" s="20">
        <v>286.314</v>
      </c>
      <c r="H23" s="6" t="s">
        <v>70</v>
      </c>
      <c r="I23" s="18"/>
    </row>
    <row r="24" spans="1:9" s="14" customFormat="1" ht="47.25">
      <c r="A24" s="1">
        <v>19</v>
      </c>
      <c r="B24" s="3" t="s">
        <v>126</v>
      </c>
      <c r="C24" s="6" t="s">
        <v>190</v>
      </c>
      <c r="D24" s="20">
        <v>2497.638</v>
      </c>
      <c r="E24" s="20">
        <f>D24-47.473</f>
        <v>2450.165</v>
      </c>
      <c r="F24" s="9">
        <f t="shared" si="1"/>
        <v>1.9007157962843308</v>
      </c>
      <c r="G24" s="20">
        <v>2450.165</v>
      </c>
      <c r="H24" s="6" t="s">
        <v>189</v>
      </c>
      <c r="I24" s="18"/>
    </row>
    <row r="25" spans="1:9" s="14" customFormat="1" ht="94.5">
      <c r="A25" s="1">
        <v>20</v>
      </c>
      <c r="B25" s="3" t="s">
        <v>120</v>
      </c>
      <c r="C25" s="6" t="s">
        <v>122</v>
      </c>
      <c r="D25" s="7">
        <v>700</v>
      </c>
      <c r="E25" s="7">
        <f>D25</f>
        <v>700</v>
      </c>
      <c r="F25" s="9">
        <f t="shared" si="1"/>
        <v>0</v>
      </c>
      <c r="G25" s="20">
        <v>700</v>
      </c>
      <c r="H25" s="24" t="s">
        <v>202</v>
      </c>
      <c r="I25" s="4"/>
    </row>
    <row r="26" spans="1:9" s="14" customFormat="1" ht="94.5">
      <c r="A26" s="1">
        <v>21</v>
      </c>
      <c r="B26" s="3" t="s">
        <v>218</v>
      </c>
      <c r="C26" s="6" t="s">
        <v>114</v>
      </c>
      <c r="D26" s="20">
        <f>9459.785+7000-369.681</f>
        <v>16090.104</v>
      </c>
      <c r="E26" s="20">
        <f>D26-9090.104</f>
        <v>7000</v>
      </c>
      <c r="F26" s="9">
        <f>100-(E26/D26*100)</f>
        <v>56.49499841641794</v>
      </c>
      <c r="G26" s="20">
        <v>7000</v>
      </c>
      <c r="H26" s="6" t="s">
        <v>207</v>
      </c>
      <c r="I26" s="4"/>
    </row>
    <row r="27" spans="1:9" s="14" customFormat="1" ht="63">
      <c r="A27" s="1">
        <v>22</v>
      </c>
      <c r="B27" s="3" t="s">
        <v>27</v>
      </c>
      <c r="C27" s="6" t="s">
        <v>61</v>
      </c>
      <c r="D27" s="20">
        <v>4691.8</v>
      </c>
      <c r="E27" s="20">
        <f>4691.8-1520</f>
        <v>3171.8</v>
      </c>
      <c r="F27" s="9">
        <f t="shared" si="1"/>
        <v>32.396947866490464</v>
      </c>
      <c r="G27" s="20">
        <v>3171.8</v>
      </c>
      <c r="H27" s="6" t="s">
        <v>47</v>
      </c>
      <c r="I27" s="4"/>
    </row>
    <row r="28" spans="1:9" s="14" customFormat="1" ht="63">
      <c r="A28" s="1">
        <v>23</v>
      </c>
      <c r="B28" s="3" t="s">
        <v>27</v>
      </c>
      <c r="C28" s="6" t="s">
        <v>76</v>
      </c>
      <c r="D28" s="20">
        <v>8500</v>
      </c>
      <c r="E28" s="20">
        <f>D28-400.791</f>
        <v>8099.209</v>
      </c>
      <c r="F28" s="9">
        <f t="shared" si="1"/>
        <v>4.7151882352941215</v>
      </c>
      <c r="G28" s="20">
        <v>8099.209</v>
      </c>
      <c r="H28" s="6" t="s">
        <v>206</v>
      </c>
      <c r="I28" s="4"/>
    </row>
    <row r="29" spans="1:9" s="14" customFormat="1" ht="63">
      <c r="A29" s="1">
        <v>24</v>
      </c>
      <c r="B29" s="3" t="s">
        <v>24</v>
      </c>
      <c r="C29" s="6" t="s">
        <v>63</v>
      </c>
      <c r="D29" s="20">
        <v>4771.333</v>
      </c>
      <c r="E29" s="20">
        <f>D29-1660</f>
        <v>3111.3329999999996</v>
      </c>
      <c r="F29" s="9">
        <f>100-(E29/D29*100)</f>
        <v>34.79111602564734</v>
      </c>
      <c r="G29" s="20">
        <v>3111.3</v>
      </c>
      <c r="H29" s="11" t="s">
        <v>73</v>
      </c>
      <c r="I29" s="4"/>
    </row>
    <row r="32" spans="2:10" ht="40.5" customHeight="1">
      <c r="B32" s="149" t="s">
        <v>39</v>
      </c>
      <c r="C32" s="149"/>
      <c r="D32" s="149"/>
      <c r="E32" s="149"/>
      <c r="H32" s="18" t="s">
        <v>31</v>
      </c>
      <c r="J32" s="18"/>
    </row>
    <row r="33" spans="8:10" ht="15.75">
      <c r="H33" s="18"/>
      <c r="J33" s="18"/>
    </row>
    <row r="34" spans="1:3" ht="15.75">
      <c r="A34" s="18"/>
      <c r="C34" s="19" t="s">
        <v>32</v>
      </c>
    </row>
  </sheetData>
  <sheetProtection/>
  <mergeCells count="2">
    <mergeCell ref="A1:H1"/>
    <mergeCell ref="B32:E32"/>
  </mergeCells>
  <printOptions/>
  <pageMargins left="0.2755905511811024" right="0.2" top="0.3" bottom="0.23" header="0.27" footer="0.15748031496062992"/>
  <pageSetup horizontalDpi="600" verticalDpi="600" orientation="landscape" paperSize="9" scale="69" r:id="rId1"/>
</worksheet>
</file>

<file path=xl/worksheets/sheet6.xml><?xml version="1.0" encoding="utf-8"?>
<worksheet xmlns="http://schemas.openxmlformats.org/spreadsheetml/2006/main" xmlns:r="http://schemas.openxmlformats.org/officeDocument/2006/relationships">
  <sheetPr>
    <tabColor theme="0"/>
  </sheetPr>
  <dimension ref="A1:J36"/>
  <sheetViews>
    <sheetView zoomScale="70" zoomScaleNormal="70" zoomScaleSheetLayoutView="50" zoomScalePageLayoutView="0" workbookViewId="0" topLeftCell="A3">
      <pane xSplit="3" ySplit="2" topLeftCell="F5"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6" width="15.625" style="4" customWidth="1"/>
    <col min="7" max="7" width="15.625" style="44" customWidth="1"/>
    <col min="8" max="8" width="86.625" style="4" customWidth="1"/>
    <col min="9" max="9" width="11.625" style="4" customWidth="1"/>
    <col min="10" max="10" width="13.125" style="4" customWidth="1"/>
    <col min="11" max="16384" width="9.125" style="4" customWidth="1"/>
  </cols>
  <sheetData>
    <row r="1" spans="1:9" ht="53.25" customHeight="1">
      <c r="A1" s="148" t="s">
        <v>57</v>
      </c>
      <c r="B1" s="148"/>
      <c r="C1" s="148"/>
      <c r="D1" s="148"/>
      <c r="E1" s="148"/>
      <c r="F1" s="148"/>
      <c r="G1" s="148"/>
      <c r="H1" s="148"/>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3</v>
      </c>
      <c r="D4" s="3">
        <v>4</v>
      </c>
      <c r="E4" s="3">
        <v>5</v>
      </c>
      <c r="F4" s="3">
        <v>6</v>
      </c>
      <c r="G4" s="43">
        <v>7</v>
      </c>
      <c r="H4" s="3">
        <v>8</v>
      </c>
    </row>
    <row r="5" spans="1:10" ht="30.75" customHeight="1">
      <c r="A5" s="21"/>
      <c r="B5" s="21"/>
      <c r="C5" s="3" t="s">
        <v>13</v>
      </c>
      <c r="D5" s="22">
        <f>SUM(D6:D31)</f>
        <v>227853.16100000002</v>
      </c>
      <c r="E5" s="22">
        <f>SUM(E6:E31)</f>
        <v>169959.64200000002</v>
      </c>
      <c r="F5" s="22" t="s">
        <v>30</v>
      </c>
      <c r="G5" s="40">
        <f>SUM(G6:G31)</f>
        <v>54459.3</v>
      </c>
      <c r="H5" s="40" t="s">
        <v>30</v>
      </c>
      <c r="I5" s="38">
        <f>54459.3-G5</f>
        <v>0</v>
      </c>
      <c r="J5" s="13"/>
    </row>
    <row r="6" spans="1:9" s="14" customFormat="1" ht="63">
      <c r="A6" s="1">
        <v>1</v>
      </c>
      <c r="B6" s="3" t="s">
        <v>19</v>
      </c>
      <c r="C6" s="15" t="s">
        <v>222</v>
      </c>
      <c r="D6" s="20">
        <v>29900</v>
      </c>
      <c r="E6" s="20">
        <f>D6-467.592</f>
        <v>29432.408</v>
      </c>
      <c r="F6" s="9">
        <f aca="true" t="shared" si="0" ref="F6:F17">100-(E6/D6*100)</f>
        <v>1.5638528428093679</v>
      </c>
      <c r="G6" s="23">
        <v>2000</v>
      </c>
      <c r="H6" s="25" t="s">
        <v>223</v>
      </c>
      <c r="I6" s="7"/>
    </row>
    <row r="7" spans="1:9" s="14" customFormat="1" ht="189">
      <c r="A7" s="1">
        <v>2</v>
      </c>
      <c r="B7" s="3" t="s">
        <v>20</v>
      </c>
      <c r="C7" s="15" t="s">
        <v>34</v>
      </c>
      <c r="D7" s="20">
        <v>27620.08</v>
      </c>
      <c r="E7" s="20">
        <f>D7-79.166-2972.875</f>
        <v>24568.039</v>
      </c>
      <c r="F7" s="9">
        <f>100-(E7/D7*100)</f>
        <v>11.050080231483761</v>
      </c>
      <c r="G7" s="23">
        <f>8497.375-5000-1247.677</f>
        <v>2249.6980000000003</v>
      </c>
      <c r="H7" s="6" t="s">
        <v>59</v>
      </c>
      <c r="I7" s="7"/>
    </row>
    <row r="8" spans="1:9" s="14" customFormat="1" ht="110.25">
      <c r="A8" s="1">
        <v>3</v>
      </c>
      <c r="B8" s="3" t="s">
        <v>20</v>
      </c>
      <c r="C8" s="6" t="s">
        <v>21</v>
      </c>
      <c r="D8" s="20">
        <v>7706.785</v>
      </c>
      <c r="E8" s="20">
        <f>D8-95.619-4404.381</f>
        <v>3206.785</v>
      </c>
      <c r="F8" s="9">
        <f t="shared" si="0"/>
        <v>58.390106899310155</v>
      </c>
      <c r="G8" s="23">
        <v>3206.785</v>
      </c>
      <c r="H8" s="6" t="s">
        <v>48</v>
      </c>
      <c r="I8" s="7"/>
    </row>
    <row r="9" spans="1:9" s="14" customFormat="1" ht="63">
      <c r="A9" s="1">
        <v>4</v>
      </c>
      <c r="B9" s="3" t="s">
        <v>20</v>
      </c>
      <c r="C9" s="6" t="s">
        <v>85</v>
      </c>
      <c r="D9" s="20">
        <v>2865.725</v>
      </c>
      <c r="E9" s="20">
        <f>D9-88.6</f>
        <v>2777.125</v>
      </c>
      <c r="F9" s="9">
        <f t="shared" si="0"/>
        <v>3.0917132662764146</v>
      </c>
      <c r="G9" s="23">
        <v>2777.125</v>
      </c>
      <c r="H9" s="6" t="s">
        <v>149</v>
      </c>
      <c r="I9" s="7"/>
    </row>
    <row r="10" spans="1:9" s="14" customFormat="1" ht="47.25">
      <c r="A10" s="1">
        <v>5</v>
      </c>
      <c r="B10" s="3" t="s">
        <v>28</v>
      </c>
      <c r="C10" s="6" t="s">
        <v>62</v>
      </c>
      <c r="D10" s="20">
        <v>14117.909</v>
      </c>
      <c r="E10" s="20">
        <f>D10-2770</f>
        <v>11347.909</v>
      </c>
      <c r="F10" s="9">
        <f t="shared" si="0"/>
        <v>19.62046929187602</v>
      </c>
      <c r="G10" s="23">
        <f>4000-1000</f>
        <v>3000</v>
      </c>
      <c r="H10" s="6" t="s">
        <v>74</v>
      </c>
      <c r="I10" s="7"/>
    </row>
    <row r="11" spans="1:9" s="14" customFormat="1" ht="236.25">
      <c r="A11" s="1">
        <v>6</v>
      </c>
      <c r="B11" s="3" t="s">
        <v>28</v>
      </c>
      <c r="C11" s="15" t="s">
        <v>29</v>
      </c>
      <c r="D11" s="23">
        <v>70790.65</v>
      </c>
      <c r="E11" s="23">
        <f>D11-18842.403</f>
        <v>51948.246999999996</v>
      </c>
      <c r="F11" s="9">
        <f t="shared" si="0"/>
        <v>26.61707866787492</v>
      </c>
      <c r="G11" s="23">
        <f>5000-2000</f>
        <v>3000</v>
      </c>
      <c r="H11" s="6" t="s">
        <v>50</v>
      </c>
      <c r="I11" s="7"/>
    </row>
    <row r="12" spans="1:9" s="14" customFormat="1" ht="47.25">
      <c r="A12" s="1">
        <v>7</v>
      </c>
      <c r="B12" s="3" t="s">
        <v>28</v>
      </c>
      <c r="C12" s="15" t="s">
        <v>131</v>
      </c>
      <c r="D12" s="23">
        <v>599.399</v>
      </c>
      <c r="E12" s="23">
        <f>D12-13.02</f>
        <v>586.379</v>
      </c>
      <c r="F12" s="9">
        <f t="shared" si="0"/>
        <v>2.1721757960890784</v>
      </c>
      <c r="G12" s="23">
        <v>586.379</v>
      </c>
      <c r="H12" s="11" t="s">
        <v>219</v>
      </c>
      <c r="I12" s="32"/>
    </row>
    <row r="13" spans="1:9" s="14" customFormat="1" ht="78.75">
      <c r="A13" s="1">
        <v>8</v>
      </c>
      <c r="B13" s="3" t="s">
        <v>28</v>
      </c>
      <c r="C13" s="15" t="s">
        <v>132</v>
      </c>
      <c r="D13" s="23">
        <v>88.383</v>
      </c>
      <c r="E13" s="23">
        <f>D13-5.32</f>
        <v>83.06299999999999</v>
      </c>
      <c r="F13" s="9">
        <f t="shared" si="0"/>
        <v>6.019257096953041</v>
      </c>
      <c r="G13" s="23">
        <v>83.063</v>
      </c>
      <c r="H13" s="11" t="s">
        <v>220</v>
      </c>
      <c r="I13" s="32"/>
    </row>
    <row r="14" spans="1:9" s="14" customFormat="1" ht="78.75">
      <c r="A14" s="1">
        <v>9</v>
      </c>
      <c r="B14" s="3" t="s">
        <v>28</v>
      </c>
      <c r="C14" s="15" t="s">
        <v>135</v>
      </c>
      <c r="D14" s="23">
        <v>383.911</v>
      </c>
      <c r="E14" s="23">
        <f>D14-25.723</f>
        <v>358.188</v>
      </c>
      <c r="F14" s="9">
        <f t="shared" si="0"/>
        <v>6.700250839387252</v>
      </c>
      <c r="G14" s="23">
        <v>358.188</v>
      </c>
      <c r="H14" s="11" t="s">
        <v>136</v>
      </c>
      <c r="I14" s="32"/>
    </row>
    <row r="15" spans="1:9" s="14" customFormat="1" ht="47.25">
      <c r="A15" s="1">
        <v>10</v>
      </c>
      <c r="B15" s="3" t="s">
        <v>23</v>
      </c>
      <c r="C15" s="15" t="s">
        <v>35</v>
      </c>
      <c r="D15" s="20">
        <v>14260.633</v>
      </c>
      <c r="E15" s="20">
        <f>D15-21.353-13957.996</f>
        <v>281.28400000000147</v>
      </c>
      <c r="F15" s="9">
        <f t="shared" si="0"/>
        <v>98.02754898748182</v>
      </c>
      <c r="G15" s="23">
        <v>281.284</v>
      </c>
      <c r="H15" s="11" t="s">
        <v>38</v>
      </c>
      <c r="I15" s="4"/>
    </row>
    <row r="16" spans="1:9" s="14" customFormat="1" ht="78.75">
      <c r="A16" s="1">
        <v>11</v>
      </c>
      <c r="B16" s="3" t="s">
        <v>23</v>
      </c>
      <c r="C16" s="6" t="s">
        <v>54</v>
      </c>
      <c r="D16" s="23">
        <v>250</v>
      </c>
      <c r="E16" s="23">
        <f>D16</f>
        <v>250</v>
      </c>
      <c r="F16" s="9">
        <f t="shared" si="0"/>
        <v>0</v>
      </c>
      <c r="G16" s="23">
        <v>250</v>
      </c>
      <c r="H16" s="6" t="s">
        <v>171</v>
      </c>
      <c r="I16" s="4"/>
    </row>
    <row r="17" spans="1:9" s="14" customFormat="1" ht="47.25">
      <c r="A17" s="1">
        <v>12</v>
      </c>
      <c r="B17" s="3" t="s">
        <v>18</v>
      </c>
      <c r="C17" s="6" t="s">
        <v>64</v>
      </c>
      <c r="D17" s="20">
        <v>538.445</v>
      </c>
      <c r="E17" s="20">
        <f>D17-280</f>
        <v>258.44500000000005</v>
      </c>
      <c r="F17" s="9">
        <f t="shared" si="0"/>
        <v>52.001597191913746</v>
      </c>
      <c r="G17" s="23">
        <v>258.445</v>
      </c>
      <c r="H17" s="6" t="s">
        <v>179</v>
      </c>
      <c r="I17" s="4"/>
    </row>
    <row r="18" spans="1:9" s="14" customFormat="1" ht="63">
      <c r="A18" s="1">
        <v>13</v>
      </c>
      <c r="B18" s="3" t="s">
        <v>40</v>
      </c>
      <c r="C18" s="6" t="s">
        <v>65</v>
      </c>
      <c r="D18" s="7">
        <v>6400</v>
      </c>
      <c r="E18" s="7">
        <f>D18-238.796</f>
        <v>6161.204</v>
      </c>
      <c r="F18" s="9">
        <v>0</v>
      </c>
      <c r="G18" s="23">
        <v>3200</v>
      </c>
      <c r="H18" s="6" t="s">
        <v>180</v>
      </c>
      <c r="I18" s="4"/>
    </row>
    <row r="19" spans="1:9" s="14" customFormat="1" ht="63">
      <c r="A19" s="1">
        <v>14</v>
      </c>
      <c r="B19" s="3" t="s">
        <v>18</v>
      </c>
      <c r="C19" s="6" t="s">
        <v>67</v>
      </c>
      <c r="D19" s="20">
        <v>1946.149</v>
      </c>
      <c r="E19" s="20">
        <f>D19-93.871</f>
        <v>1852.2779999999998</v>
      </c>
      <c r="F19" s="9">
        <f>100-(E19/D19*100)</f>
        <v>4.8234230780890925</v>
      </c>
      <c r="G19" s="23">
        <v>1852.278</v>
      </c>
      <c r="H19" s="6" t="s">
        <v>72</v>
      </c>
      <c r="I19" s="4"/>
    </row>
    <row r="20" spans="1:9" s="14" customFormat="1" ht="63">
      <c r="A20" s="1">
        <v>15</v>
      </c>
      <c r="B20" s="3" t="s">
        <v>44</v>
      </c>
      <c r="C20" s="6" t="s">
        <v>45</v>
      </c>
      <c r="D20" s="20">
        <v>2779.035</v>
      </c>
      <c r="E20" s="20">
        <f>D20-317.247-24.521</f>
        <v>2437.267</v>
      </c>
      <c r="F20" s="9">
        <v>0</v>
      </c>
      <c r="G20" s="23">
        <v>2437.267</v>
      </c>
      <c r="H20" s="6" t="s">
        <v>46</v>
      </c>
      <c r="I20" s="18"/>
    </row>
    <row r="21" spans="1:9" s="14" customFormat="1" ht="78.75">
      <c r="A21" s="1">
        <v>16</v>
      </c>
      <c r="B21" s="3" t="s">
        <v>111</v>
      </c>
      <c r="C21" s="6" t="s">
        <v>112</v>
      </c>
      <c r="D21" s="23">
        <v>300</v>
      </c>
      <c r="E21" s="23">
        <f>D21</f>
        <v>300</v>
      </c>
      <c r="F21" s="29">
        <v>0</v>
      </c>
      <c r="G21" s="23">
        <v>300</v>
      </c>
      <c r="H21" s="24" t="s">
        <v>167</v>
      </c>
      <c r="I21" s="18"/>
    </row>
    <row r="22" spans="1:9" s="14" customFormat="1" ht="110.25">
      <c r="A22" s="1">
        <v>17</v>
      </c>
      <c r="B22" s="3" t="s">
        <v>42</v>
      </c>
      <c r="C22" s="6" t="s">
        <v>9</v>
      </c>
      <c r="D22" s="20">
        <v>8200</v>
      </c>
      <c r="E22" s="20">
        <f>D22-207.8</f>
        <v>7992.2</v>
      </c>
      <c r="F22" s="9">
        <f aca="true" t="shared" si="1" ref="F22:F30">100-(E22/D22*100)</f>
        <v>2.534146341463412</v>
      </c>
      <c r="G22" s="23">
        <v>2500</v>
      </c>
      <c r="H22" s="6" t="s">
        <v>181</v>
      </c>
      <c r="I22" s="18"/>
    </row>
    <row r="23" spans="1:9" s="14" customFormat="1" ht="78.75">
      <c r="A23" s="1">
        <v>18</v>
      </c>
      <c r="B23" s="3" t="s">
        <v>78</v>
      </c>
      <c r="C23" s="6" t="s">
        <v>69</v>
      </c>
      <c r="D23" s="20">
        <v>290.702</v>
      </c>
      <c r="E23" s="20">
        <f>D23-4.388</f>
        <v>286.314</v>
      </c>
      <c r="F23" s="9">
        <f t="shared" si="1"/>
        <v>1.5094495393908574</v>
      </c>
      <c r="G23" s="23">
        <v>286.314</v>
      </c>
      <c r="H23" s="6" t="s">
        <v>70</v>
      </c>
      <c r="I23" s="18"/>
    </row>
    <row r="24" spans="1:9" s="14" customFormat="1" ht="110.25">
      <c r="A24" s="1">
        <v>19</v>
      </c>
      <c r="B24" s="3" t="s">
        <v>78</v>
      </c>
      <c r="C24" s="6" t="s">
        <v>215</v>
      </c>
      <c r="D24" s="20">
        <f>297.072+600-32.592</f>
        <v>864.48</v>
      </c>
      <c r="E24" s="20">
        <f>D24-30.259-234.221</f>
        <v>600</v>
      </c>
      <c r="F24" s="9">
        <f>100-(E24/D24*100)</f>
        <v>30.594114380899512</v>
      </c>
      <c r="G24" s="23">
        <v>600</v>
      </c>
      <c r="H24" s="6" t="s">
        <v>216</v>
      </c>
      <c r="I24" s="4"/>
    </row>
    <row r="25" spans="1:9" s="14" customFormat="1" ht="47.25">
      <c r="A25" s="1">
        <v>20</v>
      </c>
      <c r="B25" s="3" t="s">
        <v>126</v>
      </c>
      <c r="C25" s="6" t="s">
        <v>190</v>
      </c>
      <c r="D25" s="20">
        <v>2497.638</v>
      </c>
      <c r="E25" s="20">
        <f>D25-47.473</f>
        <v>2450.165</v>
      </c>
      <c r="F25" s="9">
        <f t="shared" si="1"/>
        <v>1.9007157962843308</v>
      </c>
      <c r="G25" s="23">
        <v>2450.165</v>
      </c>
      <c r="H25" s="6" t="s">
        <v>189</v>
      </c>
      <c r="I25" s="18"/>
    </row>
    <row r="26" spans="1:9" s="14" customFormat="1" ht="94.5">
      <c r="A26" s="1">
        <v>21</v>
      </c>
      <c r="B26" s="3" t="s">
        <v>120</v>
      </c>
      <c r="C26" s="6" t="s">
        <v>122</v>
      </c>
      <c r="D26" s="7">
        <v>700</v>
      </c>
      <c r="E26" s="7">
        <f>D26</f>
        <v>700</v>
      </c>
      <c r="F26" s="9">
        <f t="shared" si="1"/>
        <v>0</v>
      </c>
      <c r="G26" s="23">
        <v>700</v>
      </c>
      <c r="H26" s="24" t="s">
        <v>202</v>
      </c>
      <c r="I26" s="4"/>
    </row>
    <row r="27" spans="1:9" s="14" customFormat="1" ht="94.5">
      <c r="A27" s="1">
        <v>22</v>
      </c>
      <c r="B27" s="3" t="s">
        <v>218</v>
      </c>
      <c r="C27" s="6" t="s">
        <v>114</v>
      </c>
      <c r="D27" s="20">
        <f>9459.785+7000-369.681</f>
        <v>16090.104</v>
      </c>
      <c r="E27" s="20">
        <f>D27-9090.104</f>
        <v>7000</v>
      </c>
      <c r="F27" s="9">
        <f>100-(E27/D27*100)</f>
        <v>56.49499841641794</v>
      </c>
      <c r="G27" s="23">
        <v>7000</v>
      </c>
      <c r="H27" s="6" t="s">
        <v>207</v>
      </c>
      <c r="I27" s="4"/>
    </row>
    <row r="28" spans="1:9" s="14" customFormat="1" ht="63">
      <c r="A28" s="1">
        <v>23</v>
      </c>
      <c r="B28" s="3" t="s">
        <v>27</v>
      </c>
      <c r="C28" s="6" t="s">
        <v>61</v>
      </c>
      <c r="D28" s="20">
        <v>4691.8</v>
      </c>
      <c r="E28" s="20">
        <f>4691.8-1520</f>
        <v>3171.8</v>
      </c>
      <c r="F28" s="9">
        <f t="shared" si="1"/>
        <v>32.396947866490464</v>
      </c>
      <c r="G28" s="23">
        <v>3171.8</v>
      </c>
      <c r="H28" s="6" t="s">
        <v>47</v>
      </c>
      <c r="I28" s="4"/>
    </row>
    <row r="29" spans="1:9" s="14" customFormat="1" ht="63">
      <c r="A29" s="1">
        <v>24</v>
      </c>
      <c r="B29" s="3" t="s">
        <v>27</v>
      </c>
      <c r="C29" s="6" t="s">
        <v>76</v>
      </c>
      <c r="D29" s="20">
        <v>8500</v>
      </c>
      <c r="E29" s="20">
        <f>D29-400.791</f>
        <v>8099.209</v>
      </c>
      <c r="F29" s="9">
        <f t="shared" si="1"/>
        <v>4.7151882352941215</v>
      </c>
      <c r="G29" s="23">
        <v>8099.209</v>
      </c>
      <c r="H29" s="6" t="s">
        <v>206</v>
      </c>
      <c r="I29" s="4"/>
    </row>
    <row r="30" spans="1:9" s="14" customFormat="1" ht="110.25">
      <c r="A30" s="1">
        <v>25</v>
      </c>
      <c r="B30" s="3" t="s">
        <v>27</v>
      </c>
      <c r="C30" s="6" t="s">
        <v>0</v>
      </c>
      <c r="D30" s="20">
        <v>700</v>
      </c>
      <c r="E30" s="20">
        <f>D30</f>
        <v>700</v>
      </c>
      <c r="F30" s="9">
        <f t="shared" si="1"/>
        <v>0</v>
      </c>
      <c r="G30" s="23">
        <v>700</v>
      </c>
      <c r="H30" s="24" t="s">
        <v>202</v>
      </c>
      <c r="I30" s="4"/>
    </row>
    <row r="31" spans="1:9" s="14" customFormat="1" ht="63">
      <c r="A31" s="1">
        <v>26</v>
      </c>
      <c r="B31" s="3" t="s">
        <v>24</v>
      </c>
      <c r="C31" s="6" t="s">
        <v>63</v>
      </c>
      <c r="D31" s="20">
        <v>4771.333</v>
      </c>
      <c r="E31" s="20">
        <f>D31-1660</f>
        <v>3111.3329999999996</v>
      </c>
      <c r="F31" s="9">
        <f>100-(E31/D31*100)</f>
        <v>34.79111602564734</v>
      </c>
      <c r="G31" s="23">
        <v>3111.3</v>
      </c>
      <c r="H31" s="11" t="s">
        <v>73</v>
      </c>
      <c r="I31" s="4"/>
    </row>
    <row r="34" spans="2:10" ht="40.5" customHeight="1">
      <c r="B34" s="149" t="s">
        <v>39</v>
      </c>
      <c r="C34" s="149"/>
      <c r="D34" s="149"/>
      <c r="E34" s="149"/>
      <c r="H34" s="18" t="s">
        <v>31</v>
      </c>
      <c r="J34" s="18"/>
    </row>
    <row r="35" spans="8:10" ht="15.75">
      <c r="H35" s="18"/>
      <c r="J35" s="18"/>
    </row>
    <row r="36" spans="1:3" ht="15.75">
      <c r="A36" s="18"/>
      <c r="C36" s="19" t="s">
        <v>32</v>
      </c>
    </row>
  </sheetData>
  <sheetProtection/>
  <mergeCells count="2">
    <mergeCell ref="A1:H1"/>
    <mergeCell ref="B34:E34"/>
  </mergeCells>
  <printOptions/>
  <pageMargins left="0.2755905511811024" right="0.2" top="0.3" bottom="0.23" header="0.27" footer="0.15748031496062992"/>
  <pageSetup horizontalDpi="600" verticalDpi="600" orientation="landscape" paperSize="9" scale="69" r:id="rId1"/>
</worksheet>
</file>

<file path=xl/worksheets/sheet7.xml><?xml version="1.0" encoding="utf-8"?>
<worksheet xmlns="http://schemas.openxmlformats.org/spreadsheetml/2006/main" xmlns:r="http://schemas.openxmlformats.org/officeDocument/2006/relationships">
  <sheetPr>
    <tabColor rgb="FFC00000"/>
  </sheetPr>
  <dimension ref="A1:J34"/>
  <sheetViews>
    <sheetView zoomScale="70" zoomScaleNormal="70" zoomScaleSheetLayoutView="50" zoomScalePageLayoutView="0" workbookViewId="0" topLeftCell="A3">
      <pane xSplit="3" ySplit="2" topLeftCell="D24"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6" width="15.625" style="4" customWidth="1"/>
    <col min="7" max="7" width="15.625" style="44" customWidth="1"/>
    <col min="8" max="8" width="86.625" style="4" customWidth="1"/>
    <col min="9" max="9" width="11.625" style="4" customWidth="1"/>
    <col min="10" max="10" width="13.125" style="4" customWidth="1"/>
    <col min="11" max="16384" width="9.125" style="4" customWidth="1"/>
  </cols>
  <sheetData>
    <row r="1" spans="1:9" ht="53.25" customHeight="1">
      <c r="A1" s="148" t="s">
        <v>248</v>
      </c>
      <c r="B1" s="148"/>
      <c r="C1" s="148"/>
      <c r="D1" s="148"/>
      <c r="E1" s="148"/>
      <c r="F1" s="148"/>
      <c r="G1" s="148"/>
      <c r="H1" s="148"/>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3</v>
      </c>
      <c r="D4" s="3">
        <v>4</v>
      </c>
      <c r="E4" s="3">
        <v>5</v>
      </c>
      <c r="F4" s="3">
        <v>6</v>
      </c>
      <c r="G4" s="43">
        <v>7</v>
      </c>
      <c r="H4" s="3">
        <v>8</v>
      </c>
    </row>
    <row r="5" spans="1:10" ht="30.75" customHeight="1">
      <c r="A5" s="21"/>
      <c r="B5" s="21"/>
      <c r="C5" s="3" t="s">
        <v>13</v>
      </c>
      <c r="D5" s="22">
        <f>SUM(D6:D29)</f>
        <v>212723.78</v>
      </c>
      <c r="E5" s="22">
        <f>SUM(E6:E29)</f>
        <v>168809.61000000004</v>
      </c>
      <c r="F5" s="22" t="s">
        <v>30</v>
      </c>
      <c r="G5" s="40">
        <f>SUM(G6:G29)</f>
        <v>56748.3</v>
      </c>
      <c r="H5" s="40" t="s">
        <v>30</v>
      </c>
      <c r="I5" s="38">
        <f>54459.3-G5</f>
        <v>-2289</v>
      </c>
      <c r="J5" s="13"/>
    </row>
    <row r="6" spans="1:10" ht="94.5">
      <c r="A6" s="1">
        <v>1</v>
      </c>
      <c r="B6" s="50" t="s">
        <v>19</v>
      </c>
      <c r="C6" s="51" t="s">
        <v>235</v>
      </c>
      <c r="D6" s="20"/>
      <c r="E6" s="20"/>
      <c r="F6" s="20"/>
      <c r="G6" s="23">
        <v>1289</v>
      </c>
      <c r="H6" s="40"/>
      <c r="I6" s="38"/>
      <c r="J6" s="13"/>
    </row>
    <row r="7" spans="1:9" s="14" customFormat="1" ht="63">
      <c r="A7" s="1">
        <v>2</v>
      </c>
      <c r="B7" s="3" t="s">
        <v>19</v>
      </c>
      <c r="C7" s="15" t="s">
        <v>222</v>
      </c>
      <c r="D7" s="20">
        <v>29900</v>
      </c>
      <c r="E7" s="20">
        <f>D7-467.592</f>
        <v>29432.408</v>
      </c>
      <c r="F7" s="9">
        <f aca="true" t="shared" si="0" ref="F7:F29">100-(E7/D7*100)</f>
        <v>1.5638528428093679</v>
      </c>
      <c r="G7" s="23">
        <v>4106.392</v>
      </c>
      <c r="H7" s="25" t="s">
        <v>237</v>
      </c>
      <c r="I7" s="7"/>
    </row>
    <row r="8" spans="1:9" s="14" customFormat="1" ht="141.75">
      <c r="A8" s="1">
        <v>3</v>
      </c>
      <c r="B8" s="3" t="s">
        <v>20</v>
      </c>
      <c r="C8" s="15" t="s">
        <v>34</v>
      </c>
      <c r="D8" s="20">
        <v>27620.08</v>
      </c>
      <c r="E8" s="20">
        <f>D8-79.166-2972.875</f>
        <v>24568.039</v>
      </c>
      <c r="F8" s="9">
        <f t="shared" si="0"/>
        <v>11.050080231483761</v>
      </c>
      <c r="G8" s="23">
        <f>8497.375-5000-1247.677</f>
        <v>2249.6980000000003</v>
      </c>
      <c r="H8" s="6" t="s">
        <v>228</v>
      </c>
      <c r="I8" s="7"/>
    </row>
    <row r="9" spans="1:9" s="14" customFormat="1" ht="110.25">
      <c r="A9" s="1">
        <v>4</v>
      </c>
      <c r="B9" s="3" t="s">
        <v>20</v>
      </c>
      <c r="C9" s="6" t="s">
        <v>21</v>
      </c>
      <c r="D9" s="20">
        <v>7706.785</v>
      </c>
      <c r="E9" s="20">
        <f>D9-95.619-4404.381</f>
        <v>3206.785</v>
      </c>
      <c r="F9" s="9">
        <f t="shared" si="0"/>
        <v>58.390106899310155</v>
      </c>
      <c r="G9" s="23">
        <v>3206.785</v>
      </c>
      <c r="H9" s="6" t="s">
        <v>48</v>
      </c>
      <c r="I9" s="7"/>
    </row>
    <row r="10" spans="1:9" s="14" customFormat="1" ht="126">
      <c r="A10" s="1">
        <v>5</v>
      </c>
      <c r="B10" s="3" t="s">
        <v>20</v>
      </c>
      <c r="C10" s="6" t="s">
        <v>85</v>
      </c>
      <c r="D10" s="20">
        <v>2865.725</v>
      </c>
      <c r="E10" s="20">
        <f>D10-88.6</f>
        <v>2777.125</v>
      </c>
      <c r="F10" s="9">
        <f t="shared" si="0"/>
        <v>3.0917132662764146</v>
      </c>
      <c r="G10" s="23">
        <v>2777.125</v>
      </c>
      <c r="H10" s="6" t="s">
        <v>240</v>
      </c>
      <c r="I10" s="7"/>
    </row>
    <row r="11" spans="1:9" s="14" customFormat="1" ht="47.25">
      <c r="A11" s="1">
        <v>6</v>
      </c>
      <c r="B11" s="3" t="s">
        <v>28</v>
      </c>
      <c r="C11" s="6" t="s">
        <v>62</v>
      </c>
      <c r="D11" s="20">
        <v>14117.909</v>
      </c>
      <c r="E11" s="20">
        <f>D11-2770</f>
        <v>11347.909</v>
      </c>
      <c r="F11" s="9">
        <f t="shared" si="0"/>
        <v>19.62046929187602</v>
      </c>
      <c r="G11" s="23">
        <f>4000-1000</f>
        <v>3000</v>
      </c>
      <c r="H11" s="6" t="s">
        <v>229</v>
      </c>
      <c r="I11" s="7"/>
    </row>
    <row r="12" spans="1:9" s="14" customFormat="1" ht="63">
      <c r="A12" s="1">
        <v>7</v>
      </c>
      <c r="B12" s="3" t="s">
        <v>28</v>
      </c>
      <c r="C12" s="15" t="s">
        <v>29</v>
      </c>
      <c r="D12" s="23">
        <v>70790.65</v>
      </c>
      <c r="E12" s="23">
        <f>D12-18842.403</f>
        <v>51948.246999999996</v>
      </c>
      <c r="F12" s="9">
        <f t="shared" si="0"/>
        <v>26.61707866787492</v>
      </c>
      <c r="G12" s="23">
        <f>5000-2000</f>
        <v>3000</v>
      </c>
      <c r="H12" s="6" t="s">
        <v>236</v>
      </c>
      <c r="I12" s="7"/>
    </row>
    <row r="13" spans="1:9" s="14" customFormat="1" ht="47.25">
      <c r="A13" s="1">
        <v>8</v>
      </c>
      <c r="B13" s="3" t="s">
        <v>28</v>
      </c>
      <c r="C13" s="15" t="s">
        <v>131</v>
      </c>
      <c r="D13" s="23">
        <v>599.399</v>
      </c>
      <c r="E13" s="23">
        <f>D13-13.02</f>
        <v>586.379</v>
      </c>
      <c r="F13" s="9">
        <f t="shared" si="0"/>
        <v>2.1721757960890784</v>
      </c>
      <c r="G13" s="23">
        <v>586.379</v>
      </c>
      <c r="H13" s="11" t="s">
        <v>219</v>
      </c>
      <c r="I13" s="32"/>
    </row>
    <row r="14" spans="1:9" s="14" customFormat="1" ht="78.75">
      <c r="A14" s="1">
        <v>9</v>
      </c>
      <c r="B14" s="3" t="s">
        <v>28</v>
      </c>
      <c r="C14" s="15" t="s">
        <v>249</v>
      </c>
      <c r="D14" s="23">
        <v>88.383</v>
      </c>
      <c r="E14" s="23">
        <f>D14-5.32</f>
        <v>83.06299999999999</v>
      </c>
      <c r="F14" s="9">
        <f t="shared" si="0"/>
        <v>6.019257096953041</v>
      </c>
      <c r="G14" s="23">
        <v>83.063</v>
      </c>
      <c r="H14" s="11" t="s">
        <v>220</v>
      </c>
      <c r="I14" s="32"/>
    </row>
    <row r="15" spans="1:9" s="14" customFormat="1" ht="78.75">
      <c r="A15" s="1">
        <v>10</v>
      </c>
      <c r="B15" s="3" t="s">
        <v>28</v>
      </c>
      <c r="C15" s="15" t="s">
        <v>135</v>
      </c>
      <c r="D15" s="23">
        <v>383.911</v>
      </c>
      <c r="E15" s="23">
        <f>D15-25.723</f>
        <v>358.188</v>
      </c>
      <c r="F15" s="9">
        <f t="shared" si="0"/>
        <v>6.700250839387252</v>
      </c>
      <c r="G15" s="23">
        <v>358.188</v>
      </c>
      <c r="H15" s="11" t="s">
        <v>136</v>
      </c>
      <c r="I15" s="32"/>
    </row>
    <row r="16" spans="1:9" s="14" customFormat="1" ht="141.75">
      <c r="A16" s="1">
        <v>11</v>
      </c>
      <c r="B16" s="3" t="s">
        <v>23</v>
      </c>
      <c r="C16" s="6" t="s">
        <v>7</v>
      </c>
      <c r="D16" s="28">
        <v>424.892</v>
      </c>
      <c r="E16" s="28">
        <f>D16</f>
        <v>424.892</v>
      </c>
      <c r="F16" s="9">
        <f t="shared" si="0"/>
        <v>0</v>
      </c>
      <c r="G16" s="23">
        <v>424.892</v>
      </c>
      <c r="H16" s="6" t="s">
        <v>238</v>
      </c>
      <c r="I16" s="4"/>
    </row>
    <row r="17" spans="1:9" s="14" customFormat="1" ht="47.25">
      <c r="A17" s="1">
        <v>12</v>
      </c>
      <c r="B17" s="3" t="s">
        <v>18</v>
      </c>
      <c r="C17" s="6" t="s">
        <v>64</v>
      </c>
      <c r="D17" s="20">
        <v>538.445</v>
      </c>
      <c r="E17" s="20">
        <f>D17-280</f>
        <v>258.44500000000005</v>
      </c>
      <c r="F17" s="9">
        <f t="shared" si="0"/>
        <v>52.001597191913746</v>
      </c>
      <c r="G17" s="23">
        <v>258.445</v>
      </c>
      <c r="H17" s="6" t="s">
        <v>179</v>
      </c>
      <c r="I17" s="4"/>
    </row>
    <row r="18" spans="1:9" s="14" customFormat="1" ht="63">
      <c r="A18" s="1">
        <v>13</v>
      </c>
      <c r="B18" s="3" t="s">
        <v>18</v>
      </c>
      <c r="C18" s="6" t="s">
        <v>244</v>
      </c>
      <c r="D18" s="20">
        <v>1946.149</v>
      </c>
      <c r="E18" s="20">
        <f>D18-93.871</f>
        <v>1852.2779999999998</v>
      </c>
      <c r="F18" s="9">
        <f>100-(E18/D18*100)</f>
        <v>4.8234230780890925</v>
      </c>
      <c r="G18" s="23">
        <v>1852.278</v>
      </c>
      <c r="H18" s="6" t="s">
        <v>72</v>
      </c>
      <c r="I18" s="4"/>
    </row>
    <row r="19" spans="1:9" s="14" customFormat="1" ht="63">
      <c r="A19" s="1">
        <v>14</v>
      </c>
      <c r="B19" s="3" t="s">
        <v>40</v>
      </c>
      <c r="C19" s="6" t="s">
        <v>230</v>
      </c>
      <c r="D19" s="7">
        <v>6356.36</v>
      </c>
      <c r="E19" s="7">
        <f>D19-238.796</f>
        <v>6117.563999999999</v>
      </c>
      <c r="F19" s="9">
        <f t="shared" si="0"/>
        <v>3.756804208698057</v>
      </c>
      <c r="G19" s="23">
        <v>3200</v>
      </c>
      <c r="H19" s="6" t="s">
        <v>231</v>
      </c>
      <c r="I19" s="4"/>
    </row>
    <row r="20" spans="1:9" s="14" customFormat="1" ht="63">
      <c r="A20" s="1">
        <v>15</v>
      </c>
      <c r="B20" s="3" t="s">
        <v>44</v>
      </c>
      <c r="C20" s="6" t="s">
        <v>45</v>
      </c>
      <c r="D20" s="20">
        <v>2779.035</v>
      </c>
      <c r="E20" s="20">
        <f>D20-317.247-24.521</f>
        <v>2437.267</v>
      </c>
      <c r="F20" s="9">
        <f t="shared" si="0"/>
        <v>12.298081888137432</v>
      </c>
      <c r="G20" s="23">
        <v>2437.267</v>
      </c>
      <c r="H20" s="6" t="s">
        <v>46</v>
      </c>
      <c r="I20" s="18"/>
    </row>
    <row r="21" spans="1:9" s="14" customFormat="1" ht="78.75">
      <c r="A21" s="1">
        <v>16</v>
      </c>
      <c r="B21" s="3" t="s">
        <v>42</v>
      </c>
      <c r="C21" s="6" t="s">
        <v>233</v>
      </c>
      <c r="D21" s="20">
        <v>8200</v>
      </c>
      <c r="E21" s="20">
        <f>D21-207.8</f>
        <v>7992.2</v>
      </c>
      <c r="F21" s="9">
        <f t="shared" si="0"/>
        <v>2.534146341463412</v>
      </c>
      <c r="G21" s="23">
        <v>2500</v>
      </c>
      <c r="H21" s="6" t="s">
        <v>232</v>
      </c>
      <c r="I21" s="18"/>
    </row>
    <row r="22" spans="1:9" s="14" customFormat="1" ht="78.75">
      <c r="A22" s="1">
        <v>17</v>
      </c>
      <c r="B22" s="3" t="s">
        <v>78</v>
      </c>
      <c r="C22" s="6" t="s">
        <v>69</v>
      </c>
      <c r="D22" s="20">
        <v>290.702</v>
      </c>
      <c r="E22" s="20">
        <f>D22-4.388</f>
        <v>286.314</v>
      </c>
      <c r="F22" s="9">
        <f t="shared" si="0"/>
        <v>1.5094495393908574</v>
      </c>
      <c r="G22" s="23">
        <v>286.314</v>
      </c>
      <c r="H22" s="6" t="s">
        <v>70</v>
      </c>
      <c r="I22" s="18"/>
    </row>
    <row r="23" spans="1:9" s="14" customFormat="1" ht="110.25">
      <c r="A23" s="1">
        <v>18</v>
      </c>
      <c r="B23" s="3" t="s">
        <v>78</v>
      </c>
      <c r="C23" s="6" t="s">
        <v>215</v>
      </c>
      <c r="D23" s="20">
        <f>297.072+600-32.592</f>
        <v>864.48</v>
      </c>
      <c r="E23" s="20">
        <f>D23-30.259-234.221</f>
        <v>600</v>
      </c>
      <c r="F23" s="9">
        <f t="shared" si="0"/>
        <v>30.594114380899512</v>
      </c>
      <c r="G23" s="23">
        <v>600</v>
      </c>
      <c r="H23" s="6" t="s">
        <v>216</v>
      </c>
      <c r="I23" s="4"/>
    </row>
    <row r="24" spans="1:9" s="14" customFormat="1" ht="47.25">
      <c r="A24" s="1">
        <v>19</v>
      </c>
      <c r="B24" s="3" t="s">
        <v>243</v>
      </c>
      <c r="C24" s="6" t="s">
        <v>245</v>
      </c>
      <c r="D24" s="20">
        <v>2497.638</v>
      </c>
      <c r="E24" s="20">
        <f>D24-47.473</f>
        <v>2450.165</v>
      </c>
      <c r="F24" s="9">
        <f t="shared" si="0"/>
        <v>1.9007157962843308</v>
      </c>
      <c r="G24" s="23">
        <v>2450.165</v>
      </c>
      <c r="H24" s="6" t="s">
        <v>189</v>
      </c>
      <c r="I24" s="18"/>
    </row>
    <row r="25" spans="1:9" s="14" customFormat="1" ht="94.5">
      <c r="A25" s="1">
        <v>20</v>
      </c>
      <c r="B25" s="3" t="s">
        <v>120</v>
      </c>
      <c r="C25" s="6" t="s">
        <v>122</v>
      </c>
      <c r="D25" s="7">
        <v>700</v>
      </c>
      <c r="E25" s="7">
        <f>D25</f>
        <v>700</v>
      </c>
      <c r="F25" s="9">
        <f t="shared" si="0"/>
        <v>0</v>
      </c>
      <c r="G25" s="23">
        <v>700</v>
      </c>
      <c r="H25" s="6" t="s">
        <v>202</v>
      </c>
      <c r="I25" s="4"/>
    </row>
    <row r="26" spans="1:9" s="14" customFormat="1" ht="94.5">
      <c r="A26" s="1">
        <v>21</v>
      </c>
      <c r="B26" s="3" t="s">
        <v>218</v>
      </c>
      <c r="C26" s="6" t="s">
        <v>247</v>
      </c>
      <c r="D26" s="20">
        <f>9459.785+7000-369.681</f>
        <v>16090.104</v>
      </c>
      <c r="E26" s="20">
        <f>D26-9090.104</f>
        <v>7000</v>
      </c>
      <c r="F26" s="9">
        <f t="shared" si="0"/>
        <v>56.49499841641794</v>
      </c>
      <c r="G26" s="23">
        <v>7000</v>
      </c>
      <c r="H26" s="6" t="s">
        <v>239</v>
      </c>
      <c r="I26" s="4"/>
    </row>
    <row r="27" spans="1:9" s="14" customFormat="1" ht="63">
      <c r="A27" s="1">
        <v>22</v>
      </c>
      <c r="B27" s="3" t="s">
        <v>27</v>
      </c>
      <c r="C27" s="6" t="s">
        <v>61</v>
      </c>
      <c r="D27" s="20">
        <v>4691.8</v>
      </c>
      <c r="E27" s="20">
        <f>4691.8-1520</f>
        <v>3171.8</v>
      </c>
      <c r="F27" s="9">
        <f t="shared" si="0"/>
        <v>32.396947866490464</v>
      </c>
      <c r="G27" s="23">
        <v>3171.8</v>
      </c>
      <c r="H27" s="6" t="s">
        <v>47</v>
      </c>
      <c r="I27" s="4"/>
    </row>
    <row r="28" spans="1:9" s="14" customFormat="1" ht="63">
      <c r="A28" s="1">
        <v>23</v>
      </c>
      <c r="B28" s="3" t="s">
        <v>27</v>
      </c>
      <c r="C28" s="6" t="s">
        <v>76</v>
      </c>
      <c r="D28" s="20">
        <v>8500</v>
      </c>
      <c r="E28" s="20">
        <f>D28-400.791</f>
        <v>8099.209</v>
      </c>
      <c r="F28" s="9">
        <f t="shared" si="0"/>
        <v>4.7151882352941215</v>
      </c>
      <c r="G28" s="23">
        <v>8099.209</v>
      </c>
      <c r="H28" s="6" t="s">
        <v>234</v>
      </c>
      <c r="I28" s="4"/>
    </row>
    <row r="29" spans="1:9" s="14" customFormat="1" ht="63">
      <c r="A29" s="1">
        <v>24</v>
      </c>
      <c r="B29" s="3" t="s">
        <v>24</v>
      </c>
      <c r="C29" s="6" t="s">
        <v>63</v>
      </c>
      <c r="D29" s="20">
        <v>4771.333</v>
      </c>
      <c r="E29" s="20">
        <f>D29-1660</f>
        <v>3111.3329999999996</v>
      </c>
      <c r="F29" s="9">
        <f t="shared" si="0"/>
        <v>34.79111602564734</v>
      </c>
      <c r="G29" s="23">
        <v>3111.3</v>
      </c>
      <c r="H29" s="11" t="s">
        <v>73</v>
      </c>
      <c r="I29" s="4"/>
    </row>
    <row r="32" spans="2:10" ht="40.5" customHeight="1">
      <c r="B32" s="149" t="s">
        <v>39</v>
      </c>
      <c r="C32" s="149"/>
      <c r="D32" s="149"/>
      <c r="E32" s="149"/>
      <c r="H32" s="18" t="s">
        <v>31</v>
      </c>
      <c r="J32" s="18"/>
    </row>
    <row r="33" spans="8:10" ht="15.75">
      <c r="H33" s="18"/>
      <c r="J33" s="18"/>
    </row>
    <row r="34" spans="1:3" ht="15.75">
      <c r="A34" s="18"/>
      <c r="C34" s="19" t="s">
        <v>32</v>
      </c>
    </row>
  </sheetData>
  <sheetProtection/>
  <mergeCells count="2">
    <mergeCell ref="A1:H1"/>
    <mergeCell ref="B32:E32"/>
  </mergeCells>
  <printOptions/>
  <pageMargins left="0.2755905511811024" right="0.2" top="0.3" bottom="0.23" header="0.27" footer="0.15748031496062992"/>
  <pageSetup horizontalDpi="600" verticalDpi="600" orientation="landscape" paperSize="9" scale="69" r:id="rId1"/>
</worksheet>
</file>

<file path=xl/worksheets/sheet8.xml><?xml version="1.0" encoding="utf-8"?>
<worksheet xmlns="http://schemas.openxmlformats.org/spreadsheetml/2006/main" xmlns:r="http://schemas.openxmlformats.org/officeDocument/2006/relationships">
  <sheetPr>
    <tabColor rgb="FF92D050"/>
  </sheetPr>
  <dimension ref="A1:T54"/>
  <sheetViews>
    <sheetView zoomScale="70" zoomScaleNormal="70" zoomScaleSheetLayoutView="55" zoomScalePageLayoutView="0" workbookViewId="0" topLeftCell="A3">
      <pane xSplit="3" ySplit="3" topLeftCell="H45" activePane="bottomRight" state="frozen"/>
      <selection pane="topLeft" activeCell="A3" sqref="A3"/>
      <selection pane="topRight" activeCell="D3" sqref="D3"/>
      <selection pane="bottomLeft" activeCell="A5" sqref="A5"/>
      <selection pane="bottomRight" activeCell="I47" sqref="I47"/>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0.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48" t="s">
        <v>260</v>
      </c>
      <c r="B1" s="148"/>
      <c r="C1" s="148"/>
      <c r="D1" s="148"/>
      <c r="E1" s="148"/>
      <c r="F1" s="148"/>
      <c r="G1" s="148"/>
      <c r="H1" s="148"/>
      <c r="I1" s="148"/>
      <c r="J1" s="148"/>
      <c r="K1" s="148"/>
      <c r="L1" s="148"/>
      <c r="M1" s="148"/>
      <c r="N1" s="148"/>
      <c r="O1" s="148"/>
      <c r="P1" s="148"/>
      <c r="Q1" s="148"/>
      <c r="R1" s="148"/>
      <c r="S1" s="148"/>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50" t="s">
        <v>12</v>
      </c>
      <c r="B3" s="150" t="s">
        <v>254</v>
      </c>
      <c r="C3" s="150" t="s">
        <v>256</v>
      </c>
      <c r="D3" s="150" t="s">
        <v>269</v>
      </c>
      <c r="E3" s="150" t="s">
        <v>258</v>
      </c>
      <c r="F3" s="150" t="s">
        <v>259</v>
      </c>
      <c r="G3" s="150" t="s">
        <v>257</v>
      </c>
      <c r="H3" s="150" t="s">
        <v>250</v>
      </c>
      <c r="I3" s="150" t="s">
        <v>11</v>
      </c>
      <c r="J3" s="150" t="s">
        <v>251</v>
      </c>
      <c r="K3" s="150" t="s">
        <v>16</v>
      </c>
      <c r="L3" s="152" t="s">
        <v>241</v>
      </c>
      <c r="M3" s="153"/>
      <c r="N3" s="53" t="s">
        <v>252</v>
      </c>
      <c r="O3" s="154" t="s">
        <v>242</v>
      </c>
      <c r="P3" s="155"/>
      <c r="Q3" s="154" t="s">
        <v>253</v>
      </c>
      <c r="R3" s="155"/>
      <c r="S3" s="150" t="s">
        <v>255</v>
      </c>
    </row>
    <row r="4" spans="1:19" s="54" customFormat="1" ht="129.75" customHeight="1">
      <c r="A4" s="151"/>
      <c r="B4" s="151"/>
      <c r="C4" s="151"/>
      <c r="D4" s="151"/>
      <c r="E4" s="151"/>
      <c r="F4" s="151"/>
      <c r="G4" s="151"/>
      <c r="H4" s="151"/>
      <c r="I4" s="151"/>
      <c r="J4" s="151"/>
      <c r="K4" s="151"/>
      <c r="L4" s="53" t="s">
        <v>273</v>
      </c>
      <c r="M4" s="60" t="s">
        <v>274</v>
      </c>
      <c r="N4" s="53"/>
      <c r="O4" s="75" t="s">
        <v>273</v>
      </c>
      <c r="P4" s="76" t="s">
        <v>274</v>
      </c>
      <c r="Q4" s="75" t="s">
        <v>273</v>
      </c>
      <c r="R4" s="76" t="s">
        <v>274</v>
      </c>
      <c r="S4" s="151"/>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I7+I16+I28+I37+I44+I49</f>
        <v>428553.76599999995</v>
      </c>
      <c r="J6" s="22">
        <f>J7+J16+J28+J37+J44+J49</f>
        <v>337047.57009</v>
      </c>
      <c r="K6" s="22" t="s">
        <v>30</v>
      </c>
      <c r="L6" s="22">
        <f aca="true" t="shared" si="0" ref="L6:R6">L7+L16+L28+L37+L44+L49</f>
        <v>356956</v>
      </c>
      <c r="M6" s="22">
        <f t="shared" si="0"/>
        <v>2144</v>
      </c>
      <c r="N6" s="22">
        <f t="shared" si="0"/>
        <v>0</v>
      </c>
      <c r="O6" s="22">
        <f t="shared" si="0"/>
        <v>188993.915</v>
      </c>
      <c r="P6" s="22">
        <f t="shared" si="0"/>
        <v>0</v>
      </c>
      <c r="Q6" s="22">
        <f t="shared" si="0"/>
        <v>28802.384999999995</v>
      </c>
      <c r="R6" s="22">
        <f t="shared" si="0"/>
        <v>0</v>
      </c>
      <c r="S6" s="22" t="s">
        <v>30</v>
      </c>
    </row>
    <row r="7" spans="1:19" s="73" customFormat="1" ht="31.5">
      <c r="A7" s="70"/>
      <c r="B7" s="70"/>
      <c r="C7" s="71" t="s">
        <v>383</v>
      </c>
      <c r="D7" s="71"/>
      <c r="E7" s="71"/>
      <c r="F7" s="71"/>
      <c r="G7" s="71"/>
      <c r="H7" s="71"/>
      <c r="I7" s="72">
        <f>SUM(I8:I15)</f>
        <v>83324.46800000001</v>
      </c>
      <c r="J7" s="72">
        <f>SUM(J8:J15)</f>
        <v>56461.493</v>
      </c>
      <c r="K7" s="72" t="s">
        <v>30</v>
      </c>
      <c r="L7" s="72">
        <f aca="true" t="shared" si="1" ref="L7:R7">SUM(L8:L15)</f>
        <v>42947.128</v>
      </c>
      <c r="M7" s="72">
        <f t="shared" si="1"/>
        <v>0</v>
      </c>
      <c r="N7" s="72">
        <f t="shared" si="1"/>
        <v>0</v>
      </c>
      <c r="O7" s="72">
        <f t="shared" si="1"/>
        <v>13514.365000000005</v>
      </c>
      <c r="P7" s="72">
        <f t="shared" si="1"/>
        <v>0</v>
      </c>
      <c r="Q7" s="72">
        <f t="shared" si="1"/>
        <v>0</v>
      </c>
      <c r="R7" s="72">
        <f t="shared" si="1"/>
        <v>0</v>
      </c>
      <c r="S7" s="72"/>
    </row>
    <row r="8" spans="1:20" s="52" customFormat="1" ht="126">
      <c r="A8" s="61">
        <v>1</v>
      </c>
      <c r="B8" s="43" t="s">
        <v>263</v>
      </c>
      <c r="C8" s="93" t="s">
        <v>264</v>
      </c>
      <c r="D8" s="66" t="s">
        <v>270</v>
      </c>
      <c r="E8" s="56" t="s">
        <v>276</v>
      </c>
      <c r="F8" s="56" t="s">
        <v>275</v>
      </c>
      <c r="G8" s="56" t="s">
        <v>267</v>
      </c>
      <c r="H8" s="55">
        <v>2017</v>
      </c>
      <c r="I8" s="23">
        <v>3768.437</v>
      </c>
      <c r="J8" s="23">
        <f>I8-1768.437</f>
        <v>2000</v>
      </c>
      <c r="K8" s="29">
        <f aca="true" t="shared" si="2" ref="K8:K15">100-(J8/I8*100)</f>
        <v>46.927598895775624</v>
      </c>
      <c r="L8" s="23">
        <v>2000</v>
      </c>
      <c r="M8" s="23"/>
      <c r="N8" s="23"/>
      <c r="O8" s="23"/>
      <c r="P8" s="23"/>
      <c r="Q8" s="23"/>
      <c r="R8" s="23"/>
      <c r="S8" s="74" t="s">
        <v>408</v>
      </c>
      <c r="T8" s="52" t="s">
        <v>271</v>
      </c>
    </row>
    <row r="9" spans="1:20" s="52" customFormat="1" ht="63">
      <c r="A9" s="61">
        <v>2</v>
      </c>
      <c r="B9" s="43" t="s">
        <v>266</v>
      </c>
      <c r="C9" s="93" t="s">
        <v>265</v>
      </c>
      <c r="D9" s="66" t="s">
        <v>270</v>
      </c>
      <c r="E9" s="56" t="s">
        <v>276</v>
      </c>
      <c r="F9" s="56" t="s">
        <v>275</v>
      </c>
      <c r="G9" s="56" t="s">
        <v>268</v>
      </c>
      <c r="H9" s="55">
        <v>2017</v>
      </c>
      <c r="I9" s="23">
        <v>3579.889</v>
      </c>
      <c r="J9" s="23">
        <f>I9-2579.889</f>
        <v>1000</v>
      </c>
      <c r="K9" s="29">
        <f t="shared" si="2"/>
        <v>72.0661730014534</v>
      </c>
      <c r="L9" s="23">
        <v>1000</v>
      </c>
      <c r="M9" s="23"/>
      <c r="N9" s="23"/>
      <c r="O9" s="23"/>
      <c r="P9" s="23"/>
      <c r="Q9" s="23"/>
      <c r="R9" s="23"/>
      <c r="S9" s="74" t="s">
        <v>409</v>
      </c>
      <c r="T9" s="52" t="s">
        <v>271</v>
      </c>
    </row>
    <row r="10" spans="1:20" s="52" customFormat="1" ht="110.25">
      <c r="A10" s="61">
        <v>3</v>
      </c>
      <c r="B10" s="43" t="s">
        <v>263</v>
      </c>
      <c r="C10" s="63" t="s">
        <v>246</v>
      </c>
      <c r="D10" s="66" t="s">
        <v>270</v>
      </c>
      <c r="E10" s="56" t="s">
        <v>277</v>
      </c>
      <c r="F10" s="56" t="s">
        <v>279</v>
      </c>
      <c r="G10" s="56" t="s">
        <v>278</v>
      </c>
      <c r="H10" s="55">
        <v>2016</v>
      </c>
      <c r="I10" s="23">
        <f>27620.08+9999.92</f>
        <v>37620</v>
      </c>
      <c r="J10" s="23">
        <f>I10-2093.695-2249.698-6262.242</f>
        <v>27014.365000000005</v>
      </c>
      <c r="K10" s="29">
        <f t="shared" si="2"/>
        <v>28.191480595427947</v>
      </c>
      <c r="L10" s="23">
        <v>13500</v>
      </c>
      <c r="M10" s="23"/>
      <c r="N10" s="23"/>
      <c r="O10" s="23">
        <f>J10-L10</f>
        <v>13514.365000000005</v>
      </c>
      <c r="P10" s="23"/>
      <c r="Q10" s="23"/>
      <c r="R10" s="23"/>
      <c r="S10" s="25" t="s">
        <v>407</v>
      </c>
      <c r="T10" s="52" t="s">
        <v>384</v>
      </c>
    </row>
    <row r="11" spans="1:19" s="52" customFormat="1" ht="94.5">
      <c r="A11" s="61">
        <v>4</v>
      </c>
      <c r="B11" s="43" t="s">
        <v>400</v>
      </c>
      <c r="C11" s="25" t="s">
        <v>233</v>
      </c>
      <c r="D11" s="64" t="s">
        <v>270</v>
      </c>
      <c r="E11" s="64" t="s">
        <v>339</v>
      </c>
      <c r="F11" s="64" t="s">
        <v>340</v>
      </c>
      <c r="G11" s="64"/>
      <c r="H11" s="55">
        <v>2017</v>
      </c>
      <c r="I11" s="23">
        <v>11144.39</v>
      </c>
      <c r="J11" s="23">
        <f>I11-207.8-139.719-2360.281</f>
        <v>8436.59</v>
      </c>
      <c r="K11" s="29">
        <f t="shared" si="2"/>
        <v>24.297426777060025</v>
      </c>
      <c r="L11" s="23">
        <v>8436.59</v>
      </c>
      <c r="M11" s="23"/>
      <c r="N11" s="23"/>
      <c r="O11" s="23"/>
      <c r="P11" s="23"/>
      <c r="Q11" s="23"/>
      <c r="R11" s="23"/>
      <c r="S11" s="25" t="s">
        <v>406</v>
      </c>
    </row>
    <row r="12" spans="1:19" s="52" customFormat="1" ht="94.5">
      <c r="A12" s="61">
        <v>5</v>
      </c>
      <c r="B12" s="43" t="s">
        <v>283</v>
      </c>
      <c r="C12" s="67" t="s">
        <v>385</v>
      </c>
      <c r="D12" s="66" t="s">
        <v>270</v>
      </c>
      <c r="E12" s="56" t="s">
        <v>276</v>
      </c>
      <c r="F12" s="56" t="s">
        <v>275</v>
      </c>
      <c r="G12" s="56"/>
      <c r="H12" s="55"/>
      <c r="I12" s="23">
        <v>5050</v>
      </c>
      <c r="J12" s="23">
        <f>I12-550</f>
        <v>4500</v>
      </c>
      <c r="K12" s="29">
        <f t="shared" si="2"/>
        <v>10.89108910891089</v>
      </c>
      <c r="L12" s="23">
        <v>4500</v>
      </c>
      <c r="M12" s="23"/>
      <c r="N12" s="23"/>
      <c r="O12" s="23"/>
      <c r="P12" s="23"/>
      <c r="Q12" s="23"/>
      <c r="R12" s="23"/>
      <c r="S12" s="74" t="s">
        <v>441</v>
      </c>
    </row>
    <row r="13" spans="1:19" s="52" customFormat="1" ht="78.75">
      <c r="A13" s="61">
        <v>6</v>
      </c>
      <c r="B13" s="43" t="s">
        <v>388</v>
      </c>
      <c r="C13" s="67" t="s">
        <v>386</v>
      </c>
      <c r="D13" s="66" t="s">
        <v>270</v>
      </c>
      <c r="E13" s="56" t="s">
        <v>387</v>
      </c>
      <c r="F13" s="56" t="s">
        <v>275</v>
      </c>
      <c r="G13" s="56"/>
      <c r="H13" s="55"/>
      <c r="I13" s="23">
        <v>3505.392</v>
      </c>
      <c r="J13" s="23">
        <f>I13-83.924</f>
        <v>3421.468</v>
      </c>
      <c r="K13" s="29">
        <f t="shared" si="2"/>
        <v>2.394140227398239</v>
      </c>
      <c r="L13" s="23">
        <v>3421.468</v>
      </c>
      <c r="M13" s="23"/>
      <c r="N13" s="23"/>
      <c r="O13" s="23"/>
      <c r="P13" s="23"/>
      <c r="Q13" s="23"/>
      <c r="R13" s="23"/>
      <c r="S13" s="74" t="s">
        <v>287</v>
      </c>
    </row>
    <row r="14" spans="1:19" s="52" customFormat="1" ht="173.25">
      <c r="A14" s="61">
        <v>7</v>
      </c>
      <c r="B14" s="43" t="s">
        <v>263</v>
      </c>
      <c r="C14" s="25" t="s">
        <v>21</v>
      </c>
      <c r="D14" s="64" t="s">
        <v>270</v>
      </c>
      <c r="E14" s="64" t="s">
        <v>302</v>
      </c>
      <c r="F14" s="56" t="s">
        <v>303</v>
      </c>
      <c r="G14" s="64" t="s">
        <v>304</v>
      </c>
      <c r="H14" s="55">
        <v>2016</v>
      </c>
      <c r="I14" s="23">
        <f>7706.785+4593.215</f>
        <v>12300</v>
      </c>
      <c r="J14" s="23">
        <f>I14-95.619-4404.381-628.494</f>
        <v>7171.505999999999</v>
      </c>
      <c r="K14" s="29">
        <f t="shared" si="2"/>
        <v>41.69507317073171</v>
      </c>
      <c r="L14" s="23">
        <v>7171.506</v>
      </c>
      <c r="M14" s="23"/>
      <c r="N14" s="23"/>
      <c r="O14" s="23"/>
      <c r="P14" s="23"/>
      <c r="Q14" s="23"/>
      <c r="R14" s="23"/>
      <c r="S14" s="25" t="s">
        <v>419</v>
      </c>
    </row>
    <row r="15" spans="1:19" s="52" customFormat="1" ht="78.75">
      <c r="A15" s="61">
        <v>8</v>
      </c>
      <c r="B15" s="3" t="s">
        <v>376</v>
      </c>
      <c r="C15" s="25" t="s">
        <v>337</v>
      </c>
      <c r="D15" s="64" t="s">
        <v>270</v>
      </c>
      <c r="E15" s="64" t="s">
        <v>440</v>
      </c>
      <c r="F15" s="64" t="s">
        <v>437</v>
      </c>
      <c r="G15" s="64"/>
      <c r="H15" s="55">
        <v>2017</v>
      </c>
      <c r="I15" s="7">
        <v>6356.36</v>
      </c>
      <c r="J15" s="7">
        <f>I15-238.796-3200</f>
        <v>2917.5639999999994</v>
      </c>
      <c r="K15" s="9">
        <f t="shared" si="2"/>
        <v>54.10008243711811</v>
      </c>
      <c r="L15" s="23">
        <v>2917.564</v>
      </c>
      <c r="M15" s="23"/>
      <c r="N15" s="23"/>
      <c r="O15" s="23"/>
      <c r="P15" s="23"/>
      <c r="Q15" s="23"/>
      <c r="R15" s="23"/>
      <c r="S15" s="25" t="s">
        <v>431</v>
      </c>
    </row>
    <row r="16" spans="1:19" s="73" customFormat="1" ht="31.5">
      <c r="A16" s="70"/>
      <c r="B16" s="70"/>
      <c r="C16" s="71" t="s">
        <v>391</v>
      </c>
      <c r="D16" s="71"/>
      <c r="E16" s="71"/>
      <c r="F16" s="71"/>
      <c r="G16" s="71"/>
      <c r="H16" s="71"/>
      <c r="I16" s="72">
        <f>SUM(I17:I27)</f>
        <v>144592.581</v>
      </c>
      <c r="J16" s="72">
        <f>SUM(J17:J27)</f>
        <v>122094.93299999999</v>
      </c>
      <c r="K16" s="72" t="s">
        <v>30</v>
      </c>
      <c r="L16" s="72">
        <f aca="true" t="shared" si="3" ref="L16:R16">SUM(L17:L27)</f>
        <v>61399.14</v>
      </c>
      <c r="M16" s="72">
        <f t="shared" si="3"/>
        <v>1824</v>
      </c>
      <c r="N16" s="72">
        <f t="shared" si="3"/>
        <v>0</v>
      </c>
      <c r="O16" s="72">
        <f t="shared" si="3"/>
        <v>60695.79299999999</v>
      </c>
      <c r="P16" s="72">
        <f t="shared" si="3"/>
        <v>0</v>
      </c>
      <c r="Q16" s="72">
        <f t="shared" si="3"/>
        <v>0</v>
      </c>
      <c r="R16" s="72">
        <f t="shared" si="3"/>
        <v>0</v>
      </c>
      <c r="S16" s="72"/>
    </row>
    <row r="17" spans="1:19" s="52" customFormat="1" ht="78.75">
      <c r="A17" s="61">
        <v>1</v>
      </c>
      <c r="B17" s="43" t="s">
        <v>305</v>
      </c>
      <c r="C17" s="63" t="s">
        <v>29</v>
      </c>
      <c r="D17" s="66" t="s">
        <v>270</v>
      </c>
      <c r="E17" s="56" t="s">
        <v>306</v>
      </c>
      <c r="F17" s="56" t="s">
        <v>307</v>
      </c>
      <c r="G17" s="56" t="s">
        <v>308</v>
      </c>
      <c r="H17" s="55">
        <v>2011</v>
      </c>
      <c r="I17" s="23">
        <v>70790.65</v>
      </c>
      <c r="J17" s="23">
        <f>I17-18842.403-3000</f>
        <v>48948.246999999996</v>
      </c>
      <c r="K17" s="29">
        <f aca="true" t="shared" si="4" ref="K17:K27">100-(J17/I17*100)</f>
        <v>30.854926462746135</v>
      </c>
      <c r="L17" s="23">
        <v>4000</v>
      </c>
      <c r="M17" s="23"/>
      <c r="N17" s="23"/>
      <c r="O17" s="23">
        <f>J17-L17</f>
        <v>44948.246999999996</v>
      </c>
      <c r="P17" s="23"/>
      <c r="Q17" s="23"/>
      <c r="R17" s="23"/>
      <c r="S17" s="6" t="s">
        <v>445</v>
      </c>
    </row>
    <row r="18" spans="1:19" s="52" customFormat="1" ht="63">
      <c r="A18" s="61">
        <v>2</v>
      </c>
      <c r="B18" s="43" t="s">
        <v>396</v>
      </c>
      <c r="C18" s="25" t="s">
        <v>379</v>
      </c>
      <c r="D18" s="66" t="s">
        <v>270</v>
      </c>
      <c r="E18" s="64" t="s">
        <v>397</v>
      </c>
      <c r="F18" s="64"/>
      <c r="G18" s="64"/>
      <c r="H18" s="55"/>
      <c r="I18" s="23">
        <f>550+4.388</f>
        <v>554.388</v>
      </c>
      <c r="J18" s="23">
        <f>I18-4.388</f>
        <v>550</v>
      </c>
      <c r="K18" s="29">
        <f t="shared" si="4"/>
        <v>0.7915034235950316</v>
      </c>
      <c r="L18" s="23">
        <v>550</v>
      </c>
      <c r="M18" s="23">
        <v>50</v>
      </c>
      <c r="N18" s="23"/>
      <c r="O18" s="23"/>
      <c r="P18" s="23"/>
      <c r="Q18" s="23"/>
      <c r="R18" s="23"/>
      <c r="S18" s="25" t="s">
        <v>380</v>
      </c>
    </row>
    <row r="19" spans="1:19" s="52" customFormat="1" ht="94.5">
      <c r="A19" s="61">
        <v>3</v>
      </c>
      <c r="B19" s="43" t="s">
        <v>334</v>
      </c>
      <c r="C19" s="25" t="s">
        <v>335</v>
      </c>
      <c r="D19" s="64" t="s">
        <v>270</v>
      </c>
      <c r="E19" s="64" t="s">
        <v>336</v>
      </c>
      <c r="F19" s="64"/>
      <c r="G19" s="64"/>
      <c r="H19" s="55">
        <v>2018</v>
      </c>
      <c r="I19" s="23">
        <v>7785.333</v>
      </c>
      <c r="J19" s="23">
        <f>I19-47.473-237.86</f>
        <v>7500</v>
      </c>
      <c r="K19" s="29">
        <f t="shared" si="4"/>
        <v>3.6650070074073824</v>
      </c>
      <c r="L19" s="23">
        <f>J19</f>
        <v>7500</v>
      </c>
      <c r="M19" s="23"/>
      <c r="N19" s="23"/>
      <c r="O19" s="23"/>
      <c r="P19" s="23"/>
      <c r="Q19" s="23"/>
      <c r="R19" s="23"/>
      <c r="S19" s="25" t="s">
        <v>398</v>
      </c>
    </row>
    <row r="20" spans="1:19" s="52" customFormat="1" ht="94.5">
      <c r="A20" s="61">
        <v>4</v>
      </c>
      <c r="B20" s="43" t="s">
        <v>338</v>
      </c>
      <c r="C20" s="63" t="s">
        <v>366</v>
      </c>
      <c r="D20" s="56" t="s">
        <v>270</v>
      </c>
      <c r="E20" s="68" t="s">
        <v>367</v>
      </c>
      <c r="F20" s="56" t="s">
        <v>368</v>
      </c>
      <c r="G20" s="56"/>
      <c r="H20" s="55"/>
      <c r="I20" s="23">
        <v>1984.14</v>
      </c>
      <c r="J20" s="23">
        <f>I20-85</f>
        <v>1899.14</v>
      </c>
      <c r="K20" s="29">
        <f t="shared" si="4"/>
        <v>4.283971897144355</v>
      </c>
      <c r="L20" s="23">
        <v>1899.14</v>
      </c>
      <c r="M20" s="23"/>
      <c r="N20" s="23"/>
      <c r="O20" s="23"/>
      <c r="P20" s="23"/>
      <c r="Q20" s="23"/>
      <c r="R20" s="23"/>
      <c r="S20" s="25" t="s">
        <v>369</v>
      </c>
    </row>
    <row r="21" spans="1:19" s="52" customFormat="1" ht="63">
      <c r="A21" s="61">
        <v>5</v>
      </c>
      <c r="B21" s="43" t="s">
        <v>305</v>
      </c>
      <c r="C21" s="63" t="s">
        <v>428</v>
      </c>
      <c r="D21" s="56" t="s">
        <v>270</v>
      </c>
      <c r="E21" s="68"/>
      <c r="F21" s="56"/>
      <c r="G21" s="56"/>
      <c r="H21" s="55"/>
      <c r="I21" s="23">
        <v>3000</v>
      </c>
      <c r="J21" s="23">
        <f>I21</f>
        <v>3000</v>
      </c>
      <c r="K21" s="29">
        <f t="shared" si="4"/>
        <v>0</v>
      </c>
      <c r="L21" s="23">
        <v>3000</v>
      </c>
      <c r="M21" s="23">
        <v>300</v>
      </c>
      <c r="N21" s="23"/>
      <c r="O21" s="23"/>
      <c r="P21" s="23"/>
      <c r="Q21" s="23"/>
      <c r="R21" s="23"/>
      <c r="S21" s="65" t="s">
        <v>370</v>
      </c>
    </row>
    <row r="22" spans="1:19" s="52" customFormat="1" ht="78.75">
      <c r="A22" s="61">
        <v>6</v>
      </c>
      <c r="B22" s="43" t="s">
        <v>305</v>
      </c>
      <c r="C22" s="63" t="s">
        <v>362</v>
      </c>
      <c r="D22" s="56" t="s">
        <v>270</v>
      </c>
      <c r="E22" s="56" t="s">
        <v>363</v>
      </c>
      <c r="F22" s="56"/>
      <c r="G22" s="56"/>
      <c r="H22" s="55"/>
      <c r="I22" s="23">
        <f>L22</f>
        <v>20000</v>
      </c>
      <c r="J22" s="23">
        <f>I22</f>
        <v>20000</v>
      </c>
      <c r="K22" s="29">
        <f t="shared" si="4"/>
        <v>0</v>
      </c>
      <c r="L22" s="23">
        <v>20000</v>
      </c>
      <c r="M22" s="23">
        <v>500</v>
      </c>
      <c r="N22" s="23"/>
      <c r="O22" s="23"/>
      <c r="P22" s="23"/>
      <c r="Q22" s="23"/>
      <c r="R22" s="23"/>
      <c r="S22" s="25" t="s">
        <v>364</v>
      </c>
    </row>
    <row r="23" spans="1:20" s="52" customFormat="1" ht="111.75" customHeight="1">
      <c r="A23" s="61">
        <v>7</v>
      </c>
      <c r="B23" s="43" t="s">
        <v>305</v>
      </c>
      <c r="C23" s="63" t="s">
        <v>75</v>
      </c>
      <c r="D23" s="56" t="s">
        <v>270</v>
      </c>
      <c r="E23" s="56" t="s">
        <v>356</v>
      </c>
      <c r="F23" s="56" t="s">
        <v>355</v>
      </c>
      <c r="G23" s="56"/>
      <c r="H23" s="55"/>
      <c r="I23" s="23">
        <v>18856.07</v>
      </c>
      <c r="J23" s="23">
        <f>I23-280.524</f>
        <v>18575.546</v>
      </c>
      <c r="K23" s="29">
        <f t="shared" si="4"/>
        <v>1.4877119145187692</v>
      </c>
      <c r="L23" s="23">
        <v>15000</v>
      </c>
      <c r="M23" s="23">
        <v>378</v>
      </c>
      <c r="N23" s="23"/>
      <c r="O23" s="23">
        <f>J23-L23</f>
        <v>3575.5459999999985</v>
      </c>
      <c r="P23" s="23"/>
      <c r="Q23" s="23"/>
      <c r="R23" s="23"/>
      <c r="S23" s="25" t="s">
        <v>358</v>
      </c>
      <c r="T23" s="62" t="s">
        <v>357</v>
      </c>
    </row>
    <row r="24" spans="1:19" s="52" customFormat="1" ht="78.75">
      <c r="A24" s="61">
        <v>8</v>
      </c>
      <c r="B24" s="43" t="s">
        <v>26</v>
      </c>
      <c r="C24" s="63" t="s">
        <v>128</v>
      </c>
      <c r="D24" s="56" t="s">
        <v>270</v>
      </c>
      <c r="E24" s="56" t="s">
        <v>361</v>
      </c>
      <c r="F24" s="56"/>
      <c r="G24" s="56"/>
      <c r="H24" s="55"/>
      <c r="I24" s="23">
        <f>L24+O24</f>
        <v>6172</v>
      </c>
      <c r="J24" s="23">
        <f>I24</f>
        <v>6172</v>
      </c>
      <c r="K24" s="29">
        <f t="shared" si="4"/>
        <v>0</v>
      </c>
      <c r="L24" s="23">
        <v>3000</v>
      </c>
      <c r="M24" s="23">
        <v>126</v>
      </c>
      <c r="N24" s="23"/>
      <c r="O24" s="23">
        <v>3172</v>
      </c>
      <c r="P24" s="23"/>
      <c r="Q24" s="23"/>
      <c r="R24" s="23"/>
      <c r="S24" s="25" t="s">
        <v>185</v>
      </c>
    </row>
    <row r="25" spans="1:19" s="52" customFormat="1" ht="94.5">
      <c r="A25" s="61">
        <v>10</v>
      </c>
      <c r="B25" s="43" t="s">
        <v>305</v>
      </c>
      <c r="C25" s="63" t="s">
        <v>373</v>
      </c>
      <c r="D25" s="56" t="s">
        <v>270</v>
      </c>
      <c r="E25" s="64" t="s">
        <v>374</v>
      </c>
      <c r="F25" s="56"/>
      <c r="G25" s="56"/>
      <c r="H25" s="55"/>
      <c r="I25" s="23">
        <f>L25</f>
        <v>1500</v>
      </c>
      <c r="J25" s="23">
        <f>I25</f>
        <v>1500</v>
      </c>
      <c r="K25" s="29">
        <f t="shared" si="4"/>
        <v>0</v>
      </c>
      <c r="L25" s="23">
        <v>1500</v>
      </c>
      <c r="M25" s="23">
        <v>120</v>
      </c>
      <c r="N25" s="23"/>
      <c r="O25" s="23"/>
      <c r="P25" s="23"/>
      <c r="Q25" s="23"/>
      <c r="R25" s="23"/>
      <c r="S25" s="25" t="s">
        <v>378</v>
      </c>
    </row>
    <row r="26" spans="1:19" s="52" customFormat="1" ht="94.5">
      <c r="A26" s="61">
        <v>12</v>
      </c>
      <c r="B26" s="43" t="s">
        <v>372</v>
      </c>
      <c r="C26" s="25" t="s">
        <v>371</v>
      </c>
      <c r="D26" s="64" t="s">
        <v>270</v>
      </c>
      <c r="E26" s="64" t="s">
        <v>392</v>
      </c>
      <c r="F26" s="64"/>
      <c r="G26" s="64"/>
      <c r="H26" s="55"/>
      <c r="I26" s="23">
        <f>L26</f>
        <v>1950</v>
      </c>
      <c r="J26" s="23">
        <f>I26</f>
        <v>1950</v>
      </c>
      <c r="K26" s="29">
        <f t="shared" si="4"/>
        <v>0</v>
      </c>
      <c r="L26" s="23">
        <v>1950</v>
      </c>
      <c r="M26" s="23">
        <v>50</v>
      </c>
      <c r="N26" s="23"/>
      <c r="O26" s="23"/>
      <c r="P26" s="23"/>
      <c r="Q26" s="23"/>
      <c r="R26" s="23"/>
      <c r="S26" s="25" t="s">
        <v>192</v>
      </c>
    </row>
    <row r="27" spans="1:19" s="52" customFormat="1" ht="78.75">
      <c r="A27" s="61">
        <v>13</v>
      </c>
      <c r="B27" s="43" t="s">
        <v>305</v>
      </c>
      <c r="C27" s="63" t="s">
        <v>140</v>
      </c>
      <c r="D27" s="56" t="s">
        <v>270</v>
      </c>
      <c r="E27" s="56" t="s">
        <v>359</v>
      </c>
      <c r="F27" s="56"/>
      <c r="G27" s="56"/>
      <c r="H27" s="55"/>
      <c r="I27" s="23">
        <f>L27+O27</f>
        <v>12000</v>
      </c>
      <c r="J27" s="23">
        <f>I27</f>
        <v>12000</v>
      </c>
      <c r="K27" s="29">
        <f t="shared" si="4"/>
        <v>0</v>
      </c>
      <c r="L27" s="23">
        <v>3000</v>
      </c>
      <c r="M27" s="23">
        <v>300</v>
      </c>
      <c r="N27" s="23"/>
      <c r="O27" s="23">
        <v>9000</v>
      </c>
      <c r="P27" s="23"/>
      <c r="Q27" s="23"/>
      <c r="R27" s="23"/>
      <c r="S27" s="65" t="s">
        <v>360</v>
      </c>
    </row>
    <row r="28" spans="1:19" s="73" customFormat="1" ht="31.5">
      <c r="A28" s="70"/>
      <c r="B28" s="70"/>
      <c r="C28" s="71" t="s">
        <v>393</v>
      </c>
      <c r="D28" s="71"/>
      <c r="E28" s="71"/>
      <c r="F28" s="71"/>
      <c r="G28" s="71"/>
      <c r="H28" s="71"/>
      <c r="I28" s="72">
        <f>SUM(I34:I36)</f>
        <v>7655</v>
      </c>
      <c r="J28" s="72">
        <f>SUM(J34:J36)</f>
        <v>7655</v>
      </c>
      <c r="K28" s="72" t="s">
        <v>30</v>
      </c>
      <c r="L28" s="72">
        <f aca="true" t="shared" si="5" ref="L28:R28">SUM(L34:L48)</f>
        <v>160891.488</v>
      </c>
      <c r="M28" s="72">
        <f t="shared" si="5"/>
        <v>320</v>
      </c>
      <c r="N28" s="72">
        <f t="shared" si="5"/>
        <v>0</v>
      </c>
      <c r="O28" s="72">
        <f t="shared" si="5"/>
        <v>65266.652</v>
      </c>
      <c r="P28" s="72">
        <f t="shared" si="5"/>
        <v>0</v>
      </c>
      <c r="Q28" s="72">
        <f t="shared" si="5"/>
        <v>19201.589999999997</v>
      </c>
      <c r="R28" s="72">
        <f t="shared" si="5"/>
        <v>0</v>
      </c>
      <c r="S28" s="72"/>
    </row>
    <row r="29" spans="1:19" s="52" customFormat="1" ht="78.75">
      <c r="A29" s="61">
        <v>1</v>
      </c>
      <c r="B29" s="43" t="s">
        <v>342</v>
      </c>
      <c r="C29" s="25" t="s">
        <v>341</v>
      </c>
      <c r="D29" s="64" t="s">
        <v>270</v>
      </c>
      <c r="E29" s="64"/>
      <c r="F29" s="64"/>
      <c r="G29" s="64"/>
      <c r="H29" s="55"/>
      <c r="I29" s="23">
        <f>L29</f>
        <v>1600</v>
      </c>
      <c r="J29" s="23">
        <f aca="true" t="shared" si="6" ref="J29:J36">I29</f>
        <v>1600</v>
      </c>
      <c r="K29" s="29">
        <f aca="true" t="shared" si="7" ref="K29:K36">100-(J29/I29*100)</f>
        <v>0</v>
      </c>
      <c r="L29" s="23">
        <v>1600</v>
      </c>
      <c r="M29" s="23">
        <v>100</v>
      </c>
      <c r="N29" s="23"/>
      <c r="O29" s="23"/>
      <c r="P29" s="23"/>
      <c r="Q29" s="23"/>
      <c r="R29" s="23"/>
      <c r="S29" s="25" t="s">
        <v>147</v>
      </c>
    </row>
    <row r="30" spans="1:19" s="52" customFormat="1" ht="78.75">
      <c r="A30" s="61">
        <v>2</v>
      </c>
      <c r="B30" s="43" t="s">
        <v>342</v>
      </c>
      <c r="C30" s="25" t="s">
        <v>343</v>
      </c>
      <c r="D30" s="64" t="s">
        <v>270</v>
      </c>
      <c r="E30" s="64"/>
      <c r="F30" s="64"/>
      <c r="G30" s="64"/>
      <c r="H30" s="55"/>
      <c r="I30" s="23">
        <f>L30</f>
        <v>1600</v>
      </c>
      <c r="J30" s="23">
        <f t="shared" si="6"/>
        <v>1600</v>
      </c>
      <c r="K30" s="29">
        <f t="shared" si="7"/>
        <v>0</v>
      </c>
      <c r="L30" s="23">
        <v>1600</v>
      </c>
      <c r="M30" s="23">
        <v>100</v>
      </c>
      <c r="N30" s="23"/>
      <c r="O30" s="23"/>
      <c r="P30" s="23"/>
      <c r="Q30" s="23"/>
      <c r="R30" s="23"/>
      <c r="S30" s="25" t="s">
        <v>147</v>
      </c>
    </row>
    <row r="31" spans="1:19" s="52" customFormat="1" ht="63">
      <c r="A31" s="61">
        <v>3</v>
      </c>
      <c r="B31" s="43" t="s">
        <v>342</v>
      </c>
      <c r="C31" s="69" t="s">
        <v>99</v>
      </c>
      <c r="D31" s="29" t="s">
        <v>270</v>
      </c>
      <c r="E31" s="29"/>
      <c r="F31" s="29"/>
      <c r="G31" s="29"/>
      <c r="H31" s="55"/>
      <c r="I31" s="28">
        <f>L31+O31</f>
        <v>3500</v>
      </c>
      <c r="J31" s="28">
        <f t="shared" si="6"/>
        <v>3500</v>
      </c>
      <c r="K31" s="29">
        <f t="shared" si="7"/>
        <v>0</v>
      </c>
      <c r="L31" s="23">
        <v>2200</v>
      </c>
      <c r="M31" s="23">
        <v>400</v>
      </c>
      <c r="N31" s="23"/>
      <c r="O31" s="23">
        <v>1300</v>
      </c>
      <c r="P31" s="23"/>
      <c r="Q31" s="23"/>
      <c r="R31" s="23"/>
      <c r="S31" s="25" t="s">
        <v>196</v>
      </c>
    </row>
    <row r="32" spans="1:19" s="52" customFormat="1" ht="63">
      <c r="A32" s="61">
        <v>4</v>
      </c>
      <c r="B32" s="43" t="s">
        <v>342</v>
      </c>
      <c r="C32" s="25" t="s">
        <v>98</v>
      </c>
      <c r="D32" s="64" t="s">
        <v>270</v>
      </c>
      <c r="E32" s="64"/>
      <c r="F32" s="64"/>
      <c r="G32" s="64"/>
      <c r="H32" s="55"/>
      <c r="I32" s="28">
        <f>L32+O32</f>
        <v>2500</v>
      </c>
      <c r="J32" s="28">
        <f t="shared" si="6"/>
        <v>2500</v>
      </c>
      <c r="K32" s="29">
        <f t="shared" si="7"/>
        <v>0</v>
      </c>
      <c r="L32" s="23">
        <v>2500</v>
      </c>
      <c r="M32" s="23">
        <v>200</v>
      </c>
      <c r="N32" s="23"/>
      <c r="O32" s="23"/>
      <c r="P32" s="23"/>
      <c r="Q32" s="23"/>
      <c r="R32" s="23"/>
      <c r="S32" s="25" t="s">
        <v>197</v>
      </c>
    </row>
    <row r="33" spans="1:19" s="52" customFormat="1" ht="78.75">
      <c r="A33" s="61">
        <v>5</v>
      </c>
      <c r="B33" s="43" t="s">
        <v>342</v>
      </c>
      <c r="C33" s="25" t="s">
        <v>433</v>
      </c>
      <c r="D33" s="64" t="s">
        <v>270</v>
      </c>
      <c r="E33" s="64"/>
      <c r="F33" s="64"/>
      <c r="G33" s="64"/>
      <c r="H33" s="55"/>
      <c r="I33" s="23">
        <f>L33+O33</f>
        <v>3000</v>
      </c>
      <c r="J33" s="23">
        <f t="shared" si="6"/>
        <v>3000</v>
      </c>
      <c r="K33" s="29">
        <f t="shared" si="7"/>
        <v>0</v>
      </c>
      <c r="L33" s="23">
        <v>3000</v>
      </c>
      <c r="M33" s="23">
        <v>350</v>
      </c>
      <c r="N33" s="23"/>
      <c r="O33" s="23"/>
      <c r="P33" s="23"/>
      <c r="Q33" s="23"/>
      <c r="R33" s="23"/>
      <c r="S33" s="74" t="s">
        <v>418</v>
      </c>
    </row>
    <row r="34" spans="1:19" s="52" customFormat="1" ht="78.75">
      <c r="A34" s="61">
        <v>6</v>
      </c>
      <c r="B34" s="43" t="s">
        <v>261</v>
      </c>
      <c r="C34" s="25" t="s">
        <v>438</v>
      </c>
      <c r="D34" s="64" t="s">
        <v>270</v>
      </c>
      <c r="E34" s="64"/>
      <c r="F34" s="64"/>
      <c r="G34" s="64"/>
      <c r="H34" s="55"/>
      <c r="I34" s="23">
        <f>L34+O34</f>
        <v>135</v>
      </c>
      <c r="J34" s="23">
        <f t="shared" si="6"/>
        <v>135</v>
      </c>
      <c r="K34" s="29">
        <f t="shared" si="7"/>
        <v>0</v>
      </c>
      <c r="L34" s="23">
        <v>135</v>
      </c>
      <c r="M34" s="23">
        <v>135</v>
      </c>
      <c r="N34" s="23"/>
      <c r="O34" s="23"/>
      <c r="P34" s="23"/>
      <c r="Q34" s="23"/>
      <c r="R34" s="23"/>
      <c r="S34" s="74" t="s">
        <v>416</v>
      </c>
    </row>
    <row r="35" spans="1:19" s="52" customFormat="1" ht="78.75">
      <c r="A35" s="61">
        <v>7</v>
      </c>
      <c r="B35" s="43" t="s">
        <v>344</v>
      </c>
      <c r="C35" s="25" t="s">
        <v>345</v>
      </c>
      <c r="D35" s="64" t="s">
        <v>270</v>
      </c>
      <c r="E35" s="64"/>
      <c r="F35" s="64"/>
      <c r="G35" s="64"/>
      <c r="H35" s="55"/>
      <c r="I35" s="23">
        <f>L35</f>
        <v>320</v>
      </c>
      <c r="J35" s="23">
        <f t="shared" si="6"/>
        <v>320</v>
      </c>
      <c r="K35" s="29">
        <f t="shared" si="7"/>
        <v>0</v>
      </c>
      <c r="L35" s="23">
        <v>320</v>
      </c>
      <c r="M35" s="23">
        <v>35</v>
      </c>
      <c r="N35" s="23"/>
      <c r="O35" s="23"/>
      <c r="P35" s="23"/>
      <c r="Q35" s="23"/>
      <c r="R35" s="23"/>
      <c r="S35" s="74" t="s">
        <v>417</v>
      </c>
    </row>
    <row r="36" spans="1:19" s="52" customFormat="1" ht="78.75">
      <c r="A36" s="61">
        <v>8</v>
      </c>
      <c r="B36" s="43" t="s">
        <v>342</v>
      </c>
      <c r="C36" s="25" t="s">
        <v>347</v>
      </c>
      <c r="D36" s="64" t="s">
        <v>270</v>
      </c>
      <c r="E36" s="64" t="s">
        <v>346</v>
      </c>
      <c r="F36" s="64"/>
      <c r="G36" s="64"/>
      <c r="H36" s="55"/>
      <c r="I36" s="23">
        <f>L36+O36</f>
        <v>7200</v>
      </c>
      <c r="J36" s="28">
        <f t="shared" si="6"/>
        <v>7200</v>
      </c>
      <c r="K36" s="29">
        <f t="shared" si="7"/>
        <v>0</v>
      </c>
      <c r="L36" s="23">
        <v>3000</v>
      </c>
      <c r="M36" s="23">
        <v>150</v>
      </c>
      <c r="N36" s="23"/>
      <c r="O36" s="23">
        <v>4200</v>
      </c>
      <c r="P36" s="23"/>
      <c r="Q36" s="23"/>
      <c r="R36" s="23"/>
      <c r="S36" s="25" t="s">
        <v>194</v>
      </c>
    </row>
    <row r="37" spans="1:19" s="73" customFormat="1" ht="31.5">
      <c r="A37" s="70"/>
      <c r="B37" s="70"/>
      <c r="C37" s="71" t="s">
        <v>394</v>
      </c>
      <c r="D37" s="71"/>
      <c r="E37" s="71"/>
      <c r="F37" s="71"/>
      <c r="G37" s="71"/>
      <c r="H37" s="71"/>
      <c r="I37" s="72">
        <f>SUM(I38:I43)</f>
        <v>107126.144</v>
      </c>
      <c r="J37" s="72">
        <f>SUM(J38:J43)</f>
        <v>84931.22909000001</v>
      </c>
      <c r="K37" s="72" t="s">
        <v>30</v>
      </c>
      <c r="L37" s="72">
        <f aca="true" t="shared" si="8" ref="L37:R37">SUM(L38:L43)</f>
        <v>44797.108</v>
      </c>
      <c r="M37" s="72">
        <f t="shared" si="8"/>
        <v>0</v>
      </c>
      <c r="N37" s="72">
        <f t="shared" si="8"/>
        <v>0</v>
      </c>
      <c r="O37" s="72">
        <f t="shared" si="8"/>
        <v>30533.325999999997</v>
      </c>
      <c r="P37" s="72">
        <f t="shared" si="8"/>
        <v>0</v>
      </c>
      <c r="Q37" s="72">
        <f t="shared" si="8"/>
        <v>9600.794999999998</v>
      </c>
      <c r="R37" s="72">
        <f t="shared" si="8"/>
        <v>0</v>
      </c>
      <c r="S37" s="72"/>
    </row>
    <row r="38" spans="1:19" s="52" customFormat="1" ht="94.5">
      <c r="A38" s="61">
        <v>1</v>
      </c>
      <c r="B38" s="43" t="s">
        <v>292</v>
      </c>
      <c r="C38" s="25" t="s">
        <v>310</v>
      </c>
      <c r="D38" s="64" t="s">
        <v>270</v>
      </c>
      <c r="E38" s="64" t="s">
        <v>311</v>
      </c>
      <c r="F38" s="64" t="s">
        <v>315</v>
      </c>
      <c r="G38" s="64" t="s">
        <v>312</v>
      </c>
      <c r="H38" s="55">
        <v>2016</v>
      </c>
      <c r="I38" s="28">
        <f>4485.15+4814.85</f>
        <v>9300</v>
      </c>
      <c r="J38" s="28">
        <f>I38-1990.93498-2494.215</f>
        <v>4814.85002</v>
      </c>
      <c r="K38" s="29">
        <f>100-(J38/I38*100)</f>
        <v>48.22741913978494</v>
      </c>
      <c r="L38" s="23">
        <v>4814.85</v>
      </c>
      <c r="M38" s="23"/>
      <c r="N38" s="23"/>
      <c r="O38" s="23"/>
      <c r="P38" s="23"/>
      <c r="Q38" s="23"/>
      <c r="R38" s="23"/>
      <c r="S38" s="25" t="s">
        <v>435</v>
      </c>
    </row>
    <row r="39" spans="1:19" s="52" customFormat="1" ht="94.5">
      <c r="A39" s="61">
        <v>2</v>
      </c>
      <c r="B39" s="43" t="s">
        <v>322</v>
      </c>
      <c r="C39" s="25" t="s">
        <v>320</v>
      </c>
      <c r="D39" s="64" t="s">
        <v>270</v>
      </c>
      <c r="E39" s="64" t="s">
        <v>321</v>
      </c>
      <c r="F39" s="64" t="s">
        <v>323</v>
      </c>
      <c r="G39" s="64" t="s">
        <v>324</v>
      </c>
      <c r="H39" s="55">
        <v>2015</v>
      </c>
      <c r="I39" s="23">
        <v>25129.262</v>
      </c>
      <c r="J39" s="23">
        <f>I39-107.715-8982.38893-7500</f>
        <v>8539.15807</v>
      </c>
      <c r="K39" s="29">
        <f>100-(J39/I39*100)</f>
        <v>66.01906546240792</v>
      </c>
      <c r="L39" s="23">
        <v>8539.158</v>
      </c>
      <c r="M39" s="23"/>
      <c r="N39" s="23"/>
      <c r="O39" s="23"/>
      <c r="P39" s="23"/>
      <c r="Q39" s="23"/>
      <c r="R39" s="23"/>
      <c r="S39" s="25" t="s">
        <v>325</v>
      </c>
    </row>
    <row r="40" spans="1:19" s="52" customFormat="1" ht="94.5">
      <c r="A40" s="61">
        <v>3</v>
      </c>
      <c r="B40" s="43" t="s">
        <v>261</v>
      </c>
      <c r="C40" s="63" t="s">
        <v>293</v>
      </c>
      <c r="D40" s="56" t="s">
        <v>270</v>
      </c>
      <c r="E40" s="64" t="s">
        <v>299</v>
      </c>
      <c r="F40" s="56" t="s">
        <v>294</v>
      </c>
      <c r="G40" s="56" t="s">
        <v>295</v>
      </c>
      <c r="H40" s="55">
        <v>2018</v>
      </c>
      <c r="I40" s="23">
        <v>32780.918</v>
      </c>
      <c r="J40" s="23">
        <f>I40-467.592</f>
        <v>32313.325999999997</v>
      </c>
      <c r="K40" s="29">
        <f>100-(J40/I40*100)</f>
        <v>1.426415208994456</v>
      </c>
      <c r="L40" s="23">
        <v>16780</v>
      </c>
      <c r="M40" s="23"/>
      <c r="N40" s="23"/>
      <c r="O40" s="23">
        <f>J40-L40</f>
        <v>15533.325999999997</v>
      </c>
      <c r="P40" s="23"/>
      <c r="Q40" s="23"/>
      <c r="R40" s="23"/>
      <c r="S40" s="25" t="s">
        <v>296</v>
      </c>
    </row>
    <row r="41" spans="1:19" s="52" customFormat="1" ht="78.75">
      <c r="A41" s="61">
        <v>4</v>
      </c>
      <c r="B41" s="43" t="s">
        <v>354</v>
      </c>
      <c r="C41" s="25" t="s">
        <v>112</v>
      </c>
      <c r="D41" s="56" t="s">
        <v>270</v>
      </c>
      <c r="E41" s="64" t="s">
        <v>434</v>
      </c>
      <c r="F41" s="64"/>
      <c r="G41" s="64"/>
      <c r="H41" s="55"/>
      <c r="I41" s="23">
        <v>35092.864</v>
      </c>
      <c r="J41" s="23">
        <f>I41-492.069</f>
        <v>34600.795</v>
      </c>
      <c r="K41" s="29">
        <v>0</v>
      </c>
      <c r="L41" s="23">
        <v>10000</v>
      </c>
      <c r="M41" s="23"/>
      <c r="N41" s="23"/>
      <c r="O41" s="23">
        <v>15000</v>
      </c>
      <c r="P41" s="23"/>
      <c r="Q41" s="23">
        <f>J41-L41-O41</f>
        <v>9600.794999999998</v>
      </c>
      <c r="R41" s="23"/>
      <c r="S41" s="25" t="s">
        <v>450</v>
      </c>
    </row>
    <row r="42" spans="1:19" s="52" customFormat="1" ht="78.75">
      <c r="A42" s="61">
        <v>5</v>
      </c>
      <c r="B42" s="43" t="s">
        <v>351</v>
      </c>
      <c r="C42" s="25" t="s">
        <v>436</v>
      </c>
      <c r="D42" s="56" t="s">
        <v>270</v>
      </c>
      <c r="E42" s="64" t="s">
        <v>349</v>
      </c>
      <c r="F42" s="64"/>
      <c r="G42" s="64"/>
      <c r="H42" s="55"/>
      <c r="I42" s="28">
        <f>L42+85</f>
        <v>3348.1</v>
      </c>
      <c r="J42" s="28">
        <f>I42-85</f>
        <v>3263.1</v>
      </c>
      <c r="K42" s="29">
        <f>100-(J42/I42*100)</f>
        <v>2.5387533227800816</v>
      </c>
      <c r="L42" s="23">
        <v>3263.1</v>
      </c>
      <c r="M42" s="23"/>
      <c r="N42" s="23"/>
      <c r="O42" s="23"/>
      <c r="P42" s="23"/>
      <c r="Q42" s="23"/>
      <c r="R42" s="23"/>
      <c r="S42" s="65" t="s">
        <v>352</v>
      </c>
    </row>
    <row r="43" spans="1:19" s="52" customFormat="1" ht="47.25">
      <c r="A43" s="61">
        <v>6</v>
      </c>
      <c r="B43" s="43" t="s">
        <v>350</v>
      </c>
      <c r="C43" s="25" t="s">
        <v>125</v>
      </c>
      <c r="D43" s="64" t="s">
        <v>270</v>
      </c>
      <c r="E43" s="64" t="s">
        <v>349</v>
      </c>
      <c r="F43" s="64"/>
      <c r="G43" s="64"/>
      <c r="H43" s="55"/>
      <c r="I43" s="28">
        <v>1475</v>
      </c>
      <c r="J43" s="28">
        <f>I43-75</f>
        <v>1400</v>
      </c>
      <c r="K43" s="29">
        <f>100-(J43/I43*100)</f>
        <v>5.0847457627118615</v>
      </c>
      <c r="L43" s="23">
        <v>1400</v>
      </c>
      <c r="M43" s="23"/>
      <c r="N43" s="23"/>
      <c r="O43" s="23"/>
      <c r="P43" s="23"/>
      <c r="Q43" s="23"/>
      <c r="R43" s="23"/>
      <c r="S43" s="25" t="s">
        <v>446</v>
      </c>
    </row>
    <row r="44" spans="1:19" s="73" customFormat="1" ht="31.5">
      <c r="A44" s="70"/>
      <c r="B44" s="70"/>
      <c r="C44" s="71" t="s">
        <v>395</v>
      </c>
      <c r="D44" s="71"/>
      <c r="E44" s="71"/>
      <c r="F44" s="71"/>
      <c r="G44" s="71"/>
      <c r="H44" s="71"/>
      <c r="I44" s="72">
        <f>SUM(I45:I48)</f>
        <v>52755.573000000004</v>
      </c>
      <c r="J44" s="72">
        <f>SUM(J45:J48)</f>
        <v>33921.136000000006</v>
      </c>
      <c r="K44" s="72" t="s">
        <v>30</v>
      </c>
      <c r="L44" s="72">
        <f aca="true" t="shared" si="9" ref="L44:R44">SUM(L45:L48)</f>
        <v>33921.136</v>
      </c>
      <c r="M44" s="72">
        <f t="shared" si="9"/>
        <v>0</v>
      </c>
      <c r="N44" s="72">
        <f t="shared" si="9"/>
        <v>0</v>
      </c>
      <c r="O44" s="72">
        <f t="shared" si="9"/>
        <v>0</v>
      </c>
      <c r="P44" s="72">
        <f t="shared" si="9"/>
        <v>0</v>
      </c>
      <c r="Q44" s="72">
        <f t="shared" si="9"/>
        <v>0</v>
      </c>
      <c r="R44" s="72">
        <f t="shared" si="9"/>
        <v>0</v>
      </c>
      <c r="S44" s="72"/>
    </row>
    <row r="45" spans="1:19" s="52" customFormat="1" ht="110.25">
      <c r="A45" s="61">
        <v>1</v>
      </c>
      <c r="B45" s="43" t="s">
        <v>27</v>
      </c>
      <c r="C45" s="25" t="s">
        <v>313</v>
      </c>
      <c r="D45" s="64" t="s">
        <v>270</v>
      </c>
      <c r="E45" s="64" t="s">
        <v>314</v>
      </c>
      <c r="F45" s="64" t="s">
        <v>317</v>
      </c>
      <c r="G45" s="64" t="s">
        <v>316</v>
      </c>
      <c r="H45" s="55">
        <v>2018</v>
      </c>
      <c r="I45" s="23">
        <v>14403.659</v>
      </c>
      <c r="J45" s="23">
        <f>I45-400.791</f>
        <v>14002.868</v>
      </c>
      <c r="K45" s="29">
        <f>100-(J45/I45*100)</f>
        <v>2.7825637916032235</v>
      </c>
      <c r="L45" s="23">
        <v>14002.868</v>
      </c>
      <c r="M45" s="23"/>
      <c r="N45" s="23"/>
      <c r="O45" s="23"/>
      <c r="P45" s="23"/>
      <c r="Q45" s="23"/>
      <c r="R45" s="23"/>
      <c r="S45" s="25" t="s">
        <v>318</v>
      </c>
    </row>
    <row r="46" spans="1:19" s="52" customFormat="1" ht="94.5">
      <c r="A46" s="61">
        <v>2</v>
      </c>
      <c r="B46" s="43" t="s">
        <v>262</v>
      </c>
      <c r="C46" s="25" t="s">
        <v>79</v>
      </c>
      <c r="D46" s="64" t="s">
        <v>270</v>
      </c>
      <c r="E46" s="64" t="s">
        <v>297</v>
      </c>
      <c r="F46" s="56" t="s">
        <v>300</v>
      </c>
      <c r="G46" s="64" t="s">
        <v>301</v>
      </c>
      <c r="H46" s="55">
        <v>2017</v>
      </c>
      <c r="I46" s="23">
        <v>21981.914</v>
      </c>
      <c r="J46" s="23">
        <f>I46-215.963-14932.538</f>
        <v>6833.4130000000005</v>
      </c>
      <c r="K46" s="29">
        <f>100-(J46/I46*100)</f>
        <v>68.91347586929874</v>
      </c>
      <c r="L46" s="23">
        <v>6833.413</v>
      </c>
      <c r="M46" s="23"/>
      <c r="N46" s="23"/>
      <c r="O46" s="23"/>
      <c r="P46" s="23"/>
      <c r="Q46" s="23"/>
      <c r="R46" s="23"/>
      <c r="S46" s="25" t="s">
        <v>298</v>
      </c>
    </row>
    <row r="47" spans="1:19" s="52" customFormat="1" ht="94.5">
      <c r="A47" s="61">
        <v>3</v>
      </c>
      <c r="B47" s="43" t="s">
        <v>330</v>
      </c>
      <c r="C47" s="25" t="s">
        <v>61</v>
      </c>
      <c r="D47" s="64" t="s">
        <v>270</v>
      </c>
      <c r="E47" s="64" t="s">
        <v>331</v>
      </c>
      <c r="F47" s="64" t="s">
        <v>332</v>
      </c>
      <c r="G47" s="64" t="s">
        <v>333</v>
      </c>
      <c r="H47" s="55">
        <v>2016</v>
      </c>
      <c r="I47" s="23">
        <v>8570</v>
      </c>
      <c r="J47" s="23">
        <f>I47-1520-71.8</f>
        <v>6978.2</v>
      </c>
      <c r="K47" s="29">
        <f>100-(J47/I47*100)</f>
        <v>18.574095682613773</v>
      </c>
      <c r="L47" s="23">
        <f>J47</f>
        <v>6978.2</v>
      </c>
      <c r="M47" s="23"/>
      <c r="N47" s="23"/>
      <c r="O47" s="23"/>
      <c r="P47" s="23"/>
      <c r="Q47" s="23"/>
      <c r="R47" s="23"/>
      <c r="S47" s="25" t="s">
        <v>447</v>
      </c>
    </row>
    <row r="48" spans="1:19" s="52" customFormat="1" ht="110.25">
      <c r="A48" s="61">
        <v>4</v>
      </c>
      <c r="B48" s="43" t="s">
        <v>326</v>
      </c>
      <c r="C48" s="25" t="s">
        <v>63</v>
      </c>
      <c r="D48" s="64" t="s">
        <v>270</v>
      </c>
      <c r="E48" s="64" t="s">
        <v>327</v>
      </c>
      <c r="F48" s="64" t="s">
        <v>328</v>
      </c>
      <c r="G48" s="64" t="s">
        <v>329</v>
      </c>
      <c r="H48" s="55">
        <v>2016</v>
      </c>
      <c r="I48" s="23">
        <f>4771.333+3028.667</f>
        <v>7800</v>
      </c>
      <c r="J48" s="23">
        <f>I48-1660-33.345</f>
        <v>6106.655</v>
      </c>
      <c r="K48" s="29">
        <f>100-(J48/I48*100)</f>
        <v>21.709551282051294</v>
      </c>
      <c r="L48" s="23">
        <v>6106.655</v>
      </c>
      <c r="M48" s="23"/>
      <c r="N48" s="23"/>
      <c r="O48" s="23"/>
      <c r="P48" s="23"/>
      <c r="Q48" s="23"/>
      <c r="R48" s="23"/>
      <c r="S48" s="25" t="s">
        <v>448</v>
      </c>
    </row>
    <row r="49" spans="1:19" s="92" customFormat="1" ht="33.75" customHeight="1">
      <c r="A49" s="88"/>
      <c r="B49" s="86"/>
      <c r="C49" s="86" t="s">
        <v>439</v>
      </c>
      <c r="D49" s="86"/>
      <c r="E49" s="86"/>
      <c r="F49" s="86"/>
      <c r="G49" s="86"/>
      <c r="H49" s="89"/>
      <c r="I49" s="90">
        <f>I50</f>
        <v>33100</v>
      </c>
      <c r="J49" s="90">
        <f>J50</f>
        <v>31983.779</v>
      </c>
      <c r="K49" s="91" t="s">
        <v>30</v>
      </c>
      <c r="L49" s="90">
        <f aca="true" t="shared" si="10" ref="L49:R49">L50</f>
        <v>13000</v>
      </c>
      <c r="M49" s="90">
        <f t="shared" si="10"/>
        <v>0</v>
      </c>
      <c r="N49" s="90">
        <f t="shared" si="10"/>
        <v>0</v>
      </c>
      <c r="O49" s="90">
        <f t="shared" si="10"/>
        <v>18983.779</v>
      </c>
      <c r="P49" s="90">
        <f t="shared" si="10"/>
        <v>0</v>
      </c>
      <c r="Q49" s="90">
        <f t="shared" si="10"/>
        <v>0</v>
      </c>
      <c r="R49" s="90">
        <f t="shared" si="10"/>
        <v>0</v>
      </c>
      <c r="S49" s="87"/>
    </row>
    <row r="50" spans="1:19" s="52" customFormat="1" ht="78.75">
      <c r="A50" s="61">
        <v>1</v>
      </c>
      <c r="B50" s="43" t="s">
        <v>292</v>
      </c>
      <c r="C50" s="25" t="s">
        <v>309</v>
      </c>
      <c r="D50" s="64" t="s">
        <v>270</v>
      </c>
      <c r="E50" s="64" t="s">
        <v>399</v>
      </c>
      <c r="F50" s="64"/>
      <c r="G50" s="64"/>
      <c r="H50" s="55">
        <v>2018</v>
      </c>
      <c r="I50" s="28">
        <v>33100</v>
      </c>
      <c r="J50" s="28">
        <f>I50-1116.221</f>
        <v>31983.779</v>
      </c>
      <c r="K50" s="29">
        <f>100-(J50/I50*100)</f>
        <v>3.3722688821752342</v>
      </c>
      <c r="L50" s="23">
        <v>13000</v>
      </c>
      <c r="M50" s="23"/>
      <c r="N50" s="23"/>
      <c r="O50" s="23">
        <f>J50-L50</f>
        <v>18983.779</v>
      </c>
      <c r="P50" s="23"/>
      <c r="Q50" s="23"/>
      <c r="R50" s="23"/>
      <c r="S50" s="25" t="s">
        <v>449</v>
      </c>
    </row>
    <row r="51" spans="1:19" s="52" customFormat="1" ht="15.75">
      <c r="A51" s="77"/>
      <c r="B51" s="78"/>
      <c r="C51" s="79"/>
      <c r="D51" s="80"/>
      <c r="E51" s="80"/>
      <c r="F51" s="80"/>
      <c r="G51" s="80"/>
      <c r="H51" s="81"/>
      <c r="I51" s="94"/>
      <c r="J51" s="94"/>
      <c r="K51" s="82"/>
      <c r="L51" s="83"/>
      <c r="M51" s="83"/>
      <c r="N51" s="83"/>
      <c r="O51" s="83"/>
      <c r="P51" s="83"/>
      <c r="Q51" s="83"/>
      <c r="R51" s="83"/>
      <c r="S51" s="79"/>
    </row>
    <row r="52" spans="2:19" ht="40.5" customHeight="1">
      <c r="B52" s="149" t="s">
        <v>381</v>
      </c>
      <c r="C52" s="149"/>
      <c r="D52" s="149"/>
      <c r="E52" s="149"/>
      <c r="F52" s="149"/>
      <c r="G52" s="149"/>
      <c r="H52" s="149"/>
      <c r="I52" s="149"/>
      <c r="J52" s="149"/>
      <c r="S52" s="18" t="s">
        <v>382</v>
      </c>
    </row>
    <row r="53" ht="15.75">
      <c r="S53" s="18"/>
    </row>
    <row r="54" spans="1:8" ht="15.75">
      <c r="A54" s="18"/>
      <c r="C54" s="19"/>
      <c r="D54" s="57"/>
      <c r="E54" s="57"/>
      <c r="F54" s="57"/>
      <c r="G54" s="57"/>
      <c r="H54" s="57"/>
    </row>
  </sheetData>
  <sheetProtection/>
  <mergeCells count="17">
    <mergeCell ref="B52:J52"/>
    <mergeCell ref="J3:J4"/>
    <mergeCell ref="K3:K4"/>
    <mergeCell ref="L3:M3"/>
    <mergeCell ref="O3:P3"/>
    <mergeCell ref="Q3:R3"/>
    <mergeCell ref="I3:I4"/>
    <mergeCell ref="S3:S4"/>
    <mergeCell ref="A1:S1"/>
    <mergeCell ref="A3:A4"/>
    <mergeCell ref="B3:B4"/>
    <mergeCell ref="C3:C4"/>
    <mergeCell ref="D3:D4"/>
    <mergeCell ref="E3:E4"/>
    <mergeCell ref="F3:F4"/>
    <mergeCell ref="G3:G4"/>
    <mergeCell ref="H3:H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52" max="18" man="1"/>
    <brk id="53" max="9" man="1"/>
  </rowBreaks>
</worksheet>
</file>

<file path=xl/worksheets/sheet9.xml><?xml version="1.0" encoding="utf-8"?>
<worksheet xmlns="http://schemas.openxmlformats.org/spreadsheetml/2006/main" xmlns:r="http://schemas.openxmlformats.org/officeDocument/2006/relationships">
  <sheetPr>
    <tabColor rgb="FFFFFF00"/>
  </sheetPr>
  <dimension ref="A1:T32"/>
  <sheetViews>
    <sheetView zoomScale="70" zoomScaleNormal="70" zoomScaleSheetLayoutView="55" zoomScalePageLayoutView="0" workbookViewId="0" topLeftCell="A3">
      <pane xSplit="3" ySplit="3" topLeftCell="D6"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48" t="s">
        <v>451</v>
      </c>
      <c r="B1" s="148"/>
      <c r="C1" s="148"/>
      <c r="D1" s="148"/>
      <c r="E1" s="148"/>
      <c r="F1" s="148"/>
      <c r="G1" s="148"/>
      <c r="H1" s="148"/>
      <c r="I1" s="148"/>
      <c r="J1" s="148"/>
      <c r="K1" s="148"/>
      <c r="L1" s="148"/>
      <c r="M1" s="148"/>
      <c r="N1" s="148"/>
      <c r="O1" s="148"/>
      <c r="P1" s="148"/>
      <c r="Q1" s="148"/>
      <c r="R1" s="148"/>
      <c r="S1" s="148"/>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50" t="s">
        <v>12</v>
      </c>
      <c r="B3" s="150" t="s">
        <v>254</v>
      </c>
      <c r="C3" s="150" t="s">
        <v>256</v>
      </c>
      <c r="D3" s="150" t="s">
        <v>269</v>
      </c>
      <c r="E3" s="150" t="s">
        <v>258</v>
      </c>
      <c r="F3" s="150" t="s">
        <v>259</v>
      </c>
      <c r="G3" s="150" t="s">
        <v>257</v>
      </c>
      <c r="H3" s="150" t="s">
        <v>250</v>
      </c>
      <c r="I3" s="150" t="s">
        <v>11</v>
      </c>
      <c r="J3" s="150" t="s">
        <v>251</v>
      </c>
      <c r="K3" s="150" t="s">
        <v>16</v>
      </c>
      <c r="L3" s="152" t="s">
        <v>241</v>
      </c>
      <c r="M3" s="153"/>
      <c r="N3" s="53" t="s">
        <v>252</v>
      </c>
      <c r="O3" s="154" t="s">
        <v>242</v>
      </c>
      <c r="P3" s="155"/>
      <c r="Q3" s="154" t="s">
        <v>253</v>
      </c>
      <c r="R3" s="155"/>
      <c r="S3" s="150" t="s">
        <v>255</v>
      </c>
    </row>
    <row r="4" spans="1:19" s="54" customFormat="1" ht="129.75" customHeight="1">
      <c r="A4" s="151"/>
      <c r="B4" s="151"/>
      <c r="C4" s="151"/>
      <c r="D4" s="151"/>
      <c r="E4" s="151"/>
      <c r="F4" s="151"/>
      <c r="G4" s="151"/>
      <c r="H4" s="151"/>
      <c r="I4" s="151"/>
      <c r="J4" s="151"/>
      <c r="K4" s="151"/>
      <c r="L4" s="53" t="s">
        <v>273</v>
      </c>
      <c r="M4" s="60" t="s">
        <v>274</v>
      </c>
      <c r="N4" s="53"/>
      <c r="O4" s="75" t="s">
        <v>273</v>
      </c>
      <c r="P4" s="76" t="s">
        <v>274</v>
      </c>
      <c r="Q4" s="75" t="s">
        <v>273</v>
      </c>
      <c r="R4" s="76" t="s">
        <v>274</v>
      </c>
      <c r="S4" s="151"/>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I7+I24+I26</f>
        <v>7830</v>
      </c>
      <c r="J6" s="22">
        <f>J7+J24+J26</f>
        <v>7830</v>
      </c>
      <c r="K6" s="22" t="s">
        <v>30</v>
      </c>
      <c r="L6" s="22">
        <f>L7+L24+L26</f>
        <v>7830</v>
      </c>
      <c r="M6" s="22">
        <f>M7+M24+M26</f>
        <v>7830</v>
      </c>
      <c r="N6" s="22" t="e">
        <f>N7+N24+#REF!+N26+#REF!+#REF!</f>
        <v>#REF!</v>
      </c>
      <c r="O6" s="22" t="e">
        <f>O7+O24+#REF!+O26+#REF!+#REF!</f>
        <v>#REF!</v>
      </c>
      <c r="P6" s="22" t="e">
        <f>P7+P24+#REF!+P26+#REF!+#REF!</f>
        <v>#REF!</v>
      </c>
      <c r="Q6" s="22" t="e">
        <f>Q7+Q24+#REF!+Q26+#REF!+#REF!</f>
        <v>#REF!</v>
      </c>
      <c r="R6" s="22" t="e">
        <f>R7+R24+#REF!+R26+#REF!+#REF!</f>
        <v>#REF!</v>
      </c>
      <c r="S6" s="22" t="s">
        <v>30</v>
      </c>
    </row>
    <row r="7" spans="1:19" s="73" customFormat="1" ht="31.5">
      <c r="A7" s="70"/>
      <c r="B7" s="70"/>
      <c r="C7" s="71" t="s">
        <v>383</v>
      </c>
      <c r="D7" s="71"/>
      <c r="E7" s="71"/>
      <c r="F7" s="71"/>
      <c r="G7" s="71"/>
      <c r="H7" s="71"/>
      <c r="I7" s="72">
        <f>SUM(I8:I23)</f>
        <v>4180</v>
      </c>
      <c r="J7" s="72">
        <f>SUM(J8:J23)</f>
        <v>4180</v>
      </c>
      <c r="K7" s="72" t="s">
        <v>30</v>
      </c>
      <c r="L7" s="72">
        <f>SUM(L8:L23)</f>
        <v>4180</v>
      </c>
      <c r="M7" s="72">
        <f>SUM(M8:M23)</f>
        <v>4180</v>
      </c>
      <c r="N7" s="72" t="e">
        <f>SUM(#REF!)</f>
        <v>#REF!</v>
      </c>
      <c r="O7" s="72" t="e">
        <f>SUM(#REF!)</f>
        <v>#REF!</v>
      </c>
      <c r="P7" s="72" t="e">
        <f>SUM(#REF!)</f>
        <v>#REF!</v>
      </c>
      <c r="Q7" s="72" t="e">
        <f>SUM(#REF!)</f>
        <v>#REF!</v>
      </c>
      <c r="R7" s="72" t="e">
        <f>SUM(#REF!)</f>
        <v>#REF!</v>
      </c>
      <c r="S7" s="72"/>
    </row>
    <row r="8" spans="1:19" s="52" customFormat="1" ht="47.25">
      <c r="A8" s="61">
        <v>10</v>
      </c>
      <c r="B8" s="43" t="s">
        <v>292</v>
      </c>
      <c r="C8" s="67" t="s">
        <v>390</v>
      </c>
      <c r="D8" s="66" t="s">
        <v>270</v>
      </c>
      <c r="E8" s="56"/>
      <c r="F8" s="56"/>
      <c r="G8" s="56"/>
      <c r="H8" s="55"/>
      <c r="I8" s="23">
        <v>300</v>
      </c>
      <c r="J8" s="23">
        <f>I8</f>
        <v>300</v>
      </c>
      <c r="K8" s="29">
        <f aca="true" t="shared" si="0" ref="K8:K22">100-(J8/I8*100)</f>
        <v>0</v>
      </c>
      <c r="L8" s="23">
        <v>300</v>
      </c>
      <c r="M8" s="23">
        <v>300</v>
      </c>
      <c r="N8" s="23"/>
      <c r="O8" s="23">
        <v>5000</v>
      </c>
      <c r="P8" s="23"/>
      <c r="Q8" s="23"/>
      <c r="R8" s="23"/>
      <c r="S8" s="74" t="s">
        <v>444</v>
      </c>
    </row>
    <row r="9" spans="1:19" s="52" customFormat="1" ht="78.75">
      <c r="A9" s="61">
        <v>11</v>
      </c>
      <c r="B9" s="43" t="s">
        <v>263</v>
      </c>
      <c r="C9" s="63" t="s">
        <v>282</v>
      </c>
      <c r="D9" s="66" t="s">
        <v>270</v>
      </c>
      <c r="E9" s="56"/>
      <c r="F9" s="56"/>
      <c r="G9" s="56"/>
      <c r="H9" s="55"/>
      <c r="I9" s="23">
        <f>L9</f>
        <v>300</v>
      </c>
      <c r="J9" s="23">
        <f aca="true" t="shared" si="1" ref="J9:J22">I9</f>
        <v>300</v>
      </c>
      <c r="K9" s="29">
        <f t="shared" si="0"/>
        <v>0</v>
      </c>
      <c r="L9" s="23">
        <v>300</v>
      </c>
      <c r="M9" s="23">
        <v>300</v>
      </c>
      <c r="N9" s="23"/>
      <c r="O9" s="23"/>
      <c r="P9" s="23"/>
      <c r="Q9" s="23"/>
      <c r="R9" s="23"/>
      <c r="S9" s="25" t="s">
        <v>280</v>
      </c>
    </row>
    <row r="10" spans="1:19" s="52" customFormat="1" ht="78.75">
      <c r="A10" s="61">
        <v>12</v>
      </c>
      <c r="B10" s="43" t="s">
        <v>442</v>
      </c>
      <c r="C10" s="74" t="s">
        <v>401</v>
      </c>
      <c r="D10" s="66" t="s">
        <v>270</v>
      </c>
      <c r="E10" s="56"/>
      <c r="F10" s="56"/>
      <c r="G10" s="56"/>
      <c r="H10" s="55"/>
      <c r="I10" s="23">
        <f>L10</f>
        <v>250</v>
      </c>
      <c r="J10" s="23">
        <f t="shared" si="1"/>
        <v>250</v>
      </c>
      <c r="K10" s="29">
        <f t="shared" si="0"/>
        <v>0</v>
      </c>
      <c r="L10" s="23">
        <v>250</v>
      </c>
      <c r="M10" s="23">
        <v>250</v>
      </c>
      <c r="N10" s="23"/>
      <c r="O10" s="23"/>
      <c r="P10" s="23"/>
      <c r="Q10" s="23"/>
      <c r="R10" s="23"/>
      <c r="S10" s="74" t="s">
        <v>410</v>
      </c>
    </row>
    <row r="11" spans="1:19" s="52" customFormat="1" ht="94.5">
      <c r="A11" s="61">
        <v>13</v>
      </c>
      <c r="B11" s="43" t="s">
        <v>283</v>
      </c>
      <c r="C11" s="63" t="s">
        <v>281</v>
      </c>
      <c r="D11" s="66" t="s">
        <v>270</v>
      </c>
      <c r="E11" s="56"/>
      <c r="F11" s="56"/>
      <c r="G11" s="56"/>
      <c r="H11" s="55"/>
      <c r="I11" s="23">
        <v>250</v>
      </c>
      <c r="J11" s="23">
        <f t="shared" si="1"/>
        <v>250</v>
      </c>
      <c r="K11" s="29">
        <f t="shared" si="0"/>
        <v>0</v>
      </c>
      <c r="L11" s="23">
        <v>250</v>
      </c>
      <c r="M11" s="23">
        <v>250</v>
      </c>
      <c r="N11" s="23"/>
      <c r="O11" s="23">
        <v>6000</v>
      </c>
      <c r="P11" s="23"/>
      <c r="Q11" s="23"/>
      <c r="R11" s="23"/>
      <c r="S11" s="74" t="s">
        <v>411</v>
      </c>
    </row>
    <row r="12" spans="1:19" s="52" customFormat="1" ht="78.75">
      <c r="A12" s="61">
        <v>14</v>
      </c>
      <c r="B12" s="43" t="s">
        <v>263</v>
      </c>
      <c r="C12" s="67" t="s">
        <v>285</v>
      </c>
      <c r="D12" s="66" t="s">
        <v>270</v>
      </c>
      <c r="E12" s="56"/>
      <c r="F12" s="56"/>
      <c r="G12" s="56"/>
      <c r="H12" s="55"/>
      <c r="I12" s="23">
        <f>L12</f>
        <v>300</v>
      </c>
      <c r="J12" s="23">
        <f t="shared" si="1"/>
        <v>300</v>
      </c>
      <c r="K12" s="29">
        <f t="shared" si="0"/>
        <v>0</v>
      </c>
      <c r="L12" s="23">
        <v>300</v>
      </c>
      <c r="M12" s="23">
        <v>300</v>
      </c>
      <c r="N12" s="23"/>
      <c r="O12" s="23"/>
      <c r="P12" s="23"/>
      <c r="Q12" s="23"/>
      <c r="R12" s="23"/>
      <c r="S12" s="74" t="s">
        <v>412</v>
      </c>
    </row>
    <row r="13" spans="1:19" s="52" customFormat="1" ht="78.75">
      <c r="A13" s="61">
        <v>15</v>
      </c>
      <c r="B13" s="43" t="s">
        <v>263</v>
      </c>
      <c r="C13" s="67" t="s">
        <v>402</v>
      </c>
      <c r="D13" s="66" t="s">
        <v>270</v>
      </c>
      <c r="E13" s="56"/>
      <c r="F13" s="56"/>
      <c r="G13" s="56"/>
      <c r="H13" s="55"/>
      <c r="I13" s="23">
        <f>L13</f>
        <v>250</v>
      </c>
      <c r="J13" s="23">
        <f t="shared" si="1"/>
        <v>250</v>
      </c>
      <c r="K13" s="29">
        <f t="shared" si="0"/>
        <v>0</v>
      </c>
      <c r="L13" s="23">
        <v>250</v>
      </c>
      <c r="M13" s="23">
        <v>250</v>
      </c>
      <c r="N13" s="23"/>
      <c r="O13" s="23"/>
      <c r="P13" s="23"/>
      <c r="Q13" s="23"/>
      <c r="R13" s="23"/>
      <c r="S13" s="74" t="s">
        <v>420</v>
      </c>
    </row>
    <row r="14" spans="1:19" s="52" customFormat="1" ht="94.5">
      <c r="A14" s="61">
        <v>16</v>
      </c>
      <c r="B14" s="43" t="s">
        <v>283</v>
      </c>
      <c r="C14" s="67" t="s">
        <v>284</v>
      </c>
      <c r="D14" s="66" t="s">
        <v>270</v>
      </c>
      <c r="E14" s="56"/>
      <c r="F14" s="56"/>
      <c r="G14" s="56"/>
      <c r="H14" s="55"/>
      <c r="I14" s="23">
        <f>L14</f>
        <v>300</v>
      </c>
      <c r="J14" s="23">
        <f t="shared" si="1"/>
        <v>300</v>
      </c>
      <c r="K14" s="29">
        <f t="shared" si="0"/>
        <v>0</v>
      </c>
      <c r="L14" s="23">
        <v>300</v>
      </c>
      <c r="M14" s="23">
        <v>300</v>
      </c>
      <c r="N14" s="23"/>
      <c r="O14" s="23"/>
      <c r="P14" s="23"/>
      <c r="Q14" s="23"/>
      <c r="R14" s="23"/>
      <c r="S14" s="74" t="s">
        <v>413</v>
      </c>
    </row>
    <row r="15" spans="1:19" s="52" customFormat="1" ht="63">
      <c r="A15" s="61">
        <v>18</v>
      </c>
      <c r="B15" s="43" t="s">
        <v>292</v>
      </c>
      <c r="C15" s="67" t="s">
        <v>375</v>
      </c>
      <c r="D15" s="66" t="s">
        <v>270</v>
      </c>
      <c r="E15" s="56"/>
      <c r="F15" s="56"/>
      <c r="G15" s="56"/>
      <c r="H15" s="55"/>
      <c r="I15" s="23">
        <f>L15</f>
        <v>400</v>
      </c>
      <c r="J15" s="23">
        <f t="shared" si="1"/>
        <v>400</v>
      </c>
      <c r="K15" s="29">
        <f t="shared" si="0"/>
        <v>0</v>
      </c>
      <c r="L15" s="23">
        <v>400</v>
      </c>
      <c r="M15" s="23">
        <v>400</v>
      </c>
      <c r="N15" s="23"/>
      <c r="O15" s="23"/>
      <c r="P15" s="23"/>
      <c r="Q15" s="23"/>
      <c r="R15" s="23"/>
      <c r="S15" s="74" t="s">
        <v>422</v>
      </c>
    </row>
    <row r="16" spans="1:19" s="52" customFormat="1" ht="110.25">
      <c r="A16" s="61">
        <v>19</v>
      </c>
      <c r="B16" s="43" t="s">
        <v>283</v>
      </c>
      <c r="C16" s="67" t="s">
        <v>403</v>
      </c>
      <c r="D16" s="66" t="s">
        <v>270</v>
      </c>
      <c r="E16" s="56"/>
      <c r="F16" s="56"/>
      <c r="G16" s="56"/>
      <c r="H16" s="55"/>
      <c r="I16" s="23">
        <v>250</v>
      </c>
      <c r="J16" s="23">
        <f t="shared" si="1"/>
        <v>250</v>
      </c>
      <c r="K16" s="29">
        <f t="shared" si="0"/>
        <v>0</v>
      </c>
      <c r="L16" s="23">
        <v>250</v>
      </c>
      <c r="M16" s="23">
        <v>250</v>
      </c>
      <c r="N16" s="23"/>
      <c r="O16" s="23">
        <v>5000</v>
      </c>
      <c r="P16" s="23"/>
      <c r="Q16" s="23"/>
      <c r="R16" s="23"/>
      <c r="S16" s="74" t="s">
        <v>423</v>
      </c>
    </row>
    <row r="17" spans="1:19" s="52" customFormat="1" ht="78.75">
      <c r="A17" s="61">
        <v>20</v>
      </c>
      <c r="B17" s="43" t="s">
        <v>283</v>
      </c>
      <c r="C17" s="67" t="s">
        <v>430</v>
      </c>
      <c r="D17" s="66" t="s">
        <v>270</v>
      </c>
      <c r="E17" s="56"/>
      <c r="F17" s="56"/>
      <c r="G17" s="56"/>
      <c r="H17" s="55"/>
      <c r="I17" s="23">
        <v>300</v>
      </c>
      <c r="J17" s="23">
        <f t="shared" si="1"/>
        <v>300</v>
      </c>
      <c r="K17" s="29">
        <f t="shared" si="0"/>
        <v>0</v>
      </c>
      <c r="L17" s="23">
        <v>300</v>
      </c>
      <c r="M17" s="23">
        <v>300</v>
      </c>
      <c r="N17" s="23"/>
      <c r="O17" s="23"/>
      <c r="P17" s="23"/>
      <c r="Q17" s="23"/>
      <c r="R17" s="23"/>
      <c r="S17" s="74" t="s">
        <v>429</v>
      </c>
    </row>
    <row r="18" spans="1:19" s="52" customFormat="1" ht="78.75">
      <c r="A18" s="61">
        <v>21</v>
      </c>
      <c r="B18" s="43" t="s">
        <v>263</v>
      </c>
      <c r="C18" s="67" t="s">
        <v>432</v>
      </c>
      <c r="D18" s="66" t="s">
        <v>270</v>
      </c>
      <c r="E18" s="56"/>
      <c r="F18" s="56"/>
      <c r="G18" s="56"/>
      <c r="H18" s="55"/>
      <c r="I18" s="23">
        <f>L18+O18</f>
        <v>250</v>
      </c>
      <c r="J18" s="23">
        <f t="shared" si="1"/>
        <v>250</v>
      </c>
      <c r="K18" s="29">
        <f t="shared" si="0"/>
        <v>0</v>
      </c>
      <c r="L18" s="23">
        <v>250</v>
      </c>
      <c r="M18" s="23">
        <v>250</v>
      </c>
      <c r="N18" s="23"/>
      <c r="O18" s="23"/>
      <c r="P18" s="23"/>
      <c r="Q18" s="23"/>
      <c r="R18" s="23"/>
      <c r="S18" s="74" t="s">
        <v>424</v>
      </c>
    </row>
    <row r="19" spans="1:19" s="52" customFormat="1" ht="63">
      <c r="A19" s="61">
        <v>22</v>
      </c>
      <c r="B19" s="43" t="s">
        <v>263</v>
      </c>
      <c r="C19" s="67" t="s">
        <v>404</v>
      </c>
      <c r="D19" s="66" t="s">
        <v>270</v>
      </c>
      <c r="E19" s="56"/>
      <c r="F19" s="56"/>
      <c r="G19" s="56"/>
      <c r="H19" s="55"/>
      <c r="I19" s="23">
        <f>L19</f>
        <v>180</v>
      </c>
      <c r="J19" s="23">
        <f t="shared" si="1"/>
        <v>180</v>
      </c>
      <c r="K19" s="29">
        <f t="shared" si="0"/>
        <v>0</v>
      </c>
      <c r="L19" s="23">
        <v>180</v>
      </c>
      <c r="M19" s="23">
        <v>180</v>
      </c>
      <c r="N19" s="23"/>
      <c r="O19" s="23"/>
      <c r="P19" s="23"/>
      <c r="Q19" s="23"/>
      <c r="R19" s="23"/>
      <c r="S19" s="74" t="s">
        <v>425</v>
      </c>
    </row>
    <row r="20" spans="1:19" s="52" customFormat="1" ht="78.75">
      <c r="A20" s="61">
        <v>23</v>
      </c>
      <c r="B20" s="43" t="s">
        <v>288</v>
      </c>
      <c r="C20" s="67" t="s">
        <v>389</v>
      </c>
      <c r="D20" s="66" t="s">
        <v>270</v>
      </c>
      <c r="E20" s="56"/>
      <c r="F20" s="56"/>
      <c r="G20" s="56"/>
      <c r="H20" s="55"/>
      <c r="I20" s="23">
        <v>280</v>
      </c>
      <c r="J20" s="23">
        <f t="shared" si="1"/>
        <v>280</v>
      </c>
      <c r="K20" s="29">
        <f t="shared" si="0"/>
        <v>0</v>
      </c>
      <c r="L20" s="23">
        <v>280</v>
      </c>
      <c r="M20" s="23">
        <v>280</v>
      </c>
      <c r="N20" s="23"/>
      <c r="O20" s="23">
        <v>1000</v>
      </c>
      <c r="P20" s="23"/>
      <c r="Q20" s="23"/>
      <c r="R20" s="23"/>
      <c r="S20" s="74" t="s">
        <v>426</v>
      </c>
    </row>
    <row r="21" spans="1:19" s="52" customFormat="1" ht="63">
      <c r="A21" s="61">
        <v>24</v>
      </c>
      <c r="B21" s="43" t="s">
        <v>283</v>
      </c>
      <c r="C21" s="67" t="s">
        <v>405</v>
      </c>
      <c r="D21" s="66" t="s">
        <v>270</v>
      </c>
      <c r="E21" s="56"/>
      <c r="F21" s="56"/>
      <c r="G21" s="56"/>
      <c r="H21" s="55"/>
      <c r="I21" s="23">
        <v>300</v>
      </c>
      <c r="J21" s="23">
        <f t="shared" si="1"/>
        <v>300</v>
      </c>
      <c r="K21" s="29">
        <f t="shared" si="0"/>
        <v>0</v>
      </c>
      <c r="L21" s="23">
        <v>300</v>
      </c>
      <c r="M21" s="23">
        <v>300</v>
      </c>
      <c r="N21" s="23"/>
      <c r="O21" s="23">
        <v>3000</v>
      </c>
      <c r="P21" s="23">
        <v>250</v>
      </c>
      <c r="Q21" s="23"/>
      <c r="R21" s="23"/>
      <c r="S21" s="74" t="s">
        <v>427</v>
      </c>
    </row>
    <row r="22" spans="1:19" s="52" customFormat="1" ht="63">
      <c r="A22" s="61">
        <v>25</v>
      </c>
      <c r="B22" s="43" t="s">
        <v>291</v>
      </c>
      <c r="C22" s="67" t="s">
        <v>290</v>
      </c>
      <c r="D22" s="66" t="s">
        <v>270</v>
      </c>
      <c r="E22" s="56"/>
      <c r="F22" s="56"/>
      <c r="G22" s="56"/>
      <c r="H22" s="55"/>
      <c r="I22" s="23">
        <f>L22</f>
        <v>120</v>
      </c>
      <c r="J22" s="23">
        <f t="shared" si="1"/>
        <v>120</v>
      </c>
      <c r="K22" s="29">
        <f t="shared" si="0"/>
        <v>0</v>
      </c>
      <c r="L22" s="23">
        <v>120</v>
      </c>
      <c r="M22" s="23">
        <v>120</v>
      </c>
      <c r="N22" s="23"/>
      <c r="O22" s="23"/>
      <c r="P22" s="23"/>
      <c r="Q22" s="23"/>
      <c r="R22" s="23"/>
      <c r="S22" s="74" t="s">
        <v>415</v>
      </c>
    </row>
    <row r="23" spans="1:20" s="52" customFormat="1" ht="94.5">
      <c r="A23" s="61">
        <v>26</v>
      </c>
      <c r="B23" s="43" t="s">
        <v>263</v>
      </c>
      <c r="C23" s="63" t="s">
        <v>443</v>
      </c>
      <c r="D23" s="66" t="s">
        <v>270</v>
      </c>
      <c r="E23" s="56"/>
      <c r="F23" s="56"/>
      <c r="G23" s="56" t="s">
        <v>377</v>
      </c>
      <c r="H23" s="55"/>
      <c r="I23" s="23">
        <f>L23</f>
        <v>150</v>
      </c>
      <c r="J23" s="23">
        <f>I23</f>
        <v>150</v>
      </c>
      <c r="K23" s="29">
        <f>100-(J23/I23*100)</f>
        <v>0</v>
      </c>
      <c r="L23" s="23">
        <v>150</v>
      </c>
      <c r="M23" s="23">
        <v>150</v>
      </c>
      <c r="N23" s="23"/>
      <c r="O23" s="23"/>
      <c r="P23" s="23"/>
      <c r="Q23" s="23"/>
      <c r="R23" s="23"/>
      <c r="S23" s="85" t="s">
        <v>414</v>
      </c>
      <c r="T23" s="52" t="s">
        <v>272</v>
      </c>
    </row>
    <row r="24" spans="1:19" s="73" customFormat="1" ht="31.5">
      <c r="A24" s="70"/>
      <c r="B24" s="70"/>
      <c r="C24" s="71" t="s">
        <v>391</v>
      </c>
      <c r="D24" s="71"/>
      <c r="E24" s="71"/>
      <c r="F24" s="71"/>
      <c r="G24" s="71"/>
      <c r="H24" s="71"/>
      <c r="I24" s="72">
        <f>SUM(I25:I25)</f>
        <v>350</v>
      </c>
      <c r="J24" s="72">
        <f>SUM(J25:J25)</f>
        <v>350</v>
      </c>
      <c r="K24" s="72" t="s">
        <v>30</v>
      </c>
      <c r="L24" s="72">
        <f aca="true" t="shared" si="2" ref="L24:R24">SUM(L25:L25)</f>
        <v>350</v>
      </c>
      <c r="M24" s="72">
        <f t="shared" si="2"/>
        <v>350</v>
      </c>
      <c r="N24" s="72">
        <f t="shared" si="2"/>
        <v>0</v>
      </c>
      <c r="O24" s="72">
        <f t="shared" si="2"/>
        <v>0</v>
      </c>
      <c r="P24" s="72">
        <f t="shared" si="2"/>
        <v>0</v>
      </c>
      <c r="Q24" s="72">
        <f t="shared" si="2"/>
        <v>0</v>
      </c>
      <c r="R24" s="72">
        <f t="shared" si="2"/>
        <v>0</v>
      </c>
      <c r="S24" s="72"/>
    </row>
    <row r="25" spans="1:19" s="52" customFormat="1" ht="78.75">
      <c r="A25" s="61">
        <v>15</v>
      </c>
      <c r="B25" s="43" t="s">
        <v>365</v>
      </c>
      <c r="C25" s="25" t="s">
        <v>142</v>
      </c>
      <c r="D25" s="64" t="s">
        <v>270</v>
      </c>
      <c r="E25" s="64"/>
      <c r="F25" s="64"/>
      <c r="G25" s="64"/>
      <c r="H25" s="55"/>
      <c r="I25" s="23">
        <v>350</v>
      </c>
      <c r="J25" s="23">
        <f>I25</f>
        <v>350</v>
      </c>
      <c r="K25" s="29">
        <f>100-(J25/I25*100)</f>
        <v>0</v>
      </c>
      <c r="L25" s="23">
        <v>350</v>
      </c>
      <c r="M25" s="23">
        <v>350</v>
      </c>
      <c r="N25" s="23"/>
      <c r="O25" s="23"/>
      <c r="P25" s="23"/>
      <c r="Q25" s="23"/>
      <c r="R25" s="23"/>
      <c r="S25" s="25" t="s">
        <v>188</v>
      </c>
    </row>
    <row r="26" spans="1:19" s="73" customFormat="1" ht="31.5">
      <c r="A26" s="70"/>
      <c r="B26" s="70"/>
      <c r="C26" s="71" t="s">
        <v>394</v>
      </c>
      <c r="D26" s="71"/>
      <c r="E26" s="71"/>
      <c r="F26" s="71"/>
      <c r="G26" s="71"/>
      <c r="H26" s="71"/>
      <c r="I26" s="72">
        <f>SUM(I27:I28)</f>
        <v>3300</v>
      </c>
      <c r="J26" s="72">
        <f>SUM(J27:J28)</f>
        <v>3300</v>
      </c>
      <c r="K26" s="72" t="s">
        <v>30</v>
      </c>
      <c r="L26" s="72">
        <f aca="true" t="shared" si="3" ref="L26:R26">SUM(L27:L28)</f>
        <v>3300</v>
      </c>
      <c r="M26" s="72">
        <f t="shared" si="3"/>
        <v>3300</v>
      </c>
      <c r="N26" s="72">
        <f t="shared" si="3"/>
        <v>0</v>
      </c>
      <c r="O26" s="72">
        <f t="shared" si="3"/>
        <v>20000</v>
      </c>
      <c r="P26" s="72">
        <f t="shared" si="3"/>
        <v>0</v>
      </c>
      <c r="Q26" s="72">
        <f t="shared" si="3"/>
        <v>15000</v>
      </c>
      <c r="R26" s="72">
        <f t="shared" si="3"/>
        <v>0</v>
      </c>
      <c r="S26" s="72"/>
    </row>
    <row r="27" spans="1:19" s="52" customFormat="1" ht="94.5">
      <c r="A27" s="61">
        <v>7</v>
      </c>
      <c r="B27" s="43" t="s">
        <v>292</v>
      </c>
      <c r="C27" s="25" t="s">
        <v>55</v>
      </c>
      <c r="D27" s="64" t="s">
        <v>270</v>
      </c>
      <c r="E27" s="64"/>
      <c r="F27" s="64"/>
      <c r="G27" s="64"/>
      <c r="H27" s="55"/>
      <c r="I27" s="23">
        <f>L27+O27</f>
        <v>1200</v>
      </c>
      <c r="J27" s="23">
        <f>I27</f>
        <v>1200</v>
      </c>
      <c r="K27" s="29">
        <f>100-(J27/I27*100)</f>
        <v>0</v>
      </c>
      <c r="L27" s="23">
        <v>1200</v>
      </c>
      <c r="M27" s="23">
        <v>1200</v>
      </c>
      <c r="N27" s="23"/>
      <c r="O27" s="23"/>
      <c r="P27" s="23"/>
      <c r="Q27" s="23"/>
      <c r="R27" s="23"/>
      <c r="S27" s="25" t="s">
        <v>348</v>
      </c>
    </row>
    <row r="28" spans="1:19" s="52" customFormat="1" ht="63">
      <c r="A28" s="61">
        <v>8</v>
      </c>
      <c r="B28" s="43" t="s">
        <v>292</v>
      </c>
      <c r="C28" s="25" t="s">
        <v>319</v>
      </c>
      <c r="D28" s="64" t="s">
        <v>270</v>
      </c>
      <c r="E28" s="64"/>
      <c r="F28" s="64"/>
      <c r="G28" s="64"/>
      <c r="H28" s="55"/>
      <c r="I28" s="23">
        <v>2100</v>
      </c>
      <c r="J28" s="23">
        <f>I28</f>
        <v>2100</v>
      </c>
      <c r="K28" s="29">
        <f>100-(J28/I28*100)</f>
        <v>0</v>
      </c>
      <c r="L28" s="100">
        <v>2100</v>
      </c>
      <c r="M28" s="23">
        <v>2100</v>
      </c>
      <c r="N28" s="23"/>
      <c r="O28" s="23">
        <v>20000</v>
      </c>
      <c r="P28" s="23"/>
      <c r="Q28" s="23">
        <v>15000</v>
      </c>
      <c r="R28" s="23"/>
      <c r="S28" s="65" t="s">
        <v>353</v>
      </c>
    </row>
    <row r="29" spans="1:19" s="52" customFormat="1" ht="15.75">
      <c r="A29" s="77"/>
      <c r="B29" s="78"/>
      <c r="C29" s="79"/>
      <c r="D29" s="80"/>
      <c r="E29" s="80"/>
      <c r="F29" s="80"/>
      <c r="G29" s="80"/>
      <c r="H29" s="81"/>
      <c r="I29" s="94"/>
      <c r="J29" s="94"/>
      <c r="K29" s="82"/>
      <c r="L29" s="83"/>
      <c r="M29" s="83"/>
      <c r="N29" s="83"/>
      <c r="O29" s="83"/>
      <c r="P29" s="83"/>
      <c r="Q29" s="83"/>
      <c r="R29" s="83"/>
      <c r="S29" s="79"/>
    </row>
    <row r="30" spans="2:19" ht="40.5" customHeight="1">
      <c r="B30" s="149" t="s">
        <v>381</v>
      </c>
      <c r="C30" s="149"/>
      <c r="D30" s="149"/>
      <c r="E30" s="149"/>
      <c r="F30" s="149"/>
      <c r="G30" s="149"/>
      <c r="H30" s="149"/>
      <c r="I30" s="149"/>
      <c r="J30" s="149"/>
      <c r="S30" s="18" t="s">
        <v>382</v>
      </c>
    </row>
    <row r="31" ht="15.75">
      <c r="S31" s="18"/>
    </row>
    <row r="32" spans="1:8" ht="15.75">
      <c r="A32" s="18"/>
      <c r="C32" s="19"/>
      <c r="D32" s="57"/>
      <c r="E32" s="57"/>
      <c r="F32" s="57"/>
      <c r="G32" s="57"/>
      <c r="H32" s="57"/>
    </row>
  </sheetData>
  <sheetProtection/>
  <mergeCells count="17">
    <mergeCell ref="B30:J30"/>
    <mergeCell ref="J3:J4"/>
    <mergeCell ref="K3:K4"/>
    <mergeCell ref="L3:M3"/>
    <mergeCell ref="O3:P3"/>
    <mergeCell ref="Q3:R3"/>
    <mergeCell ref="I3:I4"/>
    <mergeCell ref="S3:S4"/>
    <mergeCell ref="A1:S1"/>
    <mergeCell ref="A3:A4"/>
    <mergeCell ref="B3:B4"/>
    <mergeCell ref="C3:C4"/>
    <mergeCell ref="D3:D4"/>
    <mergeCell ref="E3:E4"/>
    <mergeCell ref="F3:F4"/>
    <mergeCell ref="G3:G4"/>
    <mergeCell ref="H3:H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30" max="18" man="1"/>
    <brk id="3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2022-12-12T10:44:09Z</cp:lastPrinted>
  <dcterms:created xsi:type="dcterms:W3CDTF">2013-04-10T04:31:25Z</dcterms:created>
  <dcterms:modified xsi:type="dcterms:W3CDTF">2023-12-12T15:40:09Z</dcterms:modified>
  <cp:category/>
  <cp:version/>
  <cp:contentType/>
  <cp:contentStatus/>
</cp:coreProperties>
</file>