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0485" activeTab="0"/>
  </bookViews>
  <sheets>
    <sheet name="Лист1" sheetId="1" r:id="rId1"/>
  </sheets>
  <definedNames>
    <definedName name="_xlnm.Print_Titles" localSheetId="0">'Лист1'!$10:$14</definedName>
    <definedName name="_xlnm.Print_Area" localSheetId="0">'Лист1'!$A$1:$P$125</definedName>
  </definedNames>
  <calcPr fullCalcOnLoad="1"/>
</workbook>
</file>

<file path=xl/sharedStrings.xml><?xml version="1.0" encoding="utf-8"?>
<sst xmlns="http://schemas.openxmlformats.org/spreadsheetml/2006/main" count="301" uniqueCount="239">
  <si>
    <t>отг м. Баштанка</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</si>
  <si>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</si>
  <si>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</si>
  <si>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</si>
  <si>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</si>
  <si>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</si>
  <si>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</si>
  <si>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</si>
  <si>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</si>
  <si>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0100000</t>
  </si>
  <si>
    <t>Баштанська міська рада</t>
  </si>
  <si>
    <t>0110000</t>
  </si>
  <si>
    <t>0111</t>
  </si>
  <si>
    <t>0910</t>
  </si>
  <si>
    <t>1010</t>
  </si>
  <si>
    <t>0990</t>
  </si>
  <si>
    <t>1030</t>
  </si>
  <si>
    <t>1090</t>
  </si>
  <si>
    <t>0828</t>
  </si>
  <si>
    <t>0829</t>
  </si>
  <si>
    <t>0810</t>
  </si>
  <si>
    <t>0620</t>
  </si>
  <si>
    <t>0133</t>
  </si>
  <si>
    <t>0180</t>
  </si>
  <si>
    <t>0540</t>
  </si>
  <si>
    <t xml:space="preserve">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</si>
  <si>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</si>
  <si>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до рішення  міської  ради</t>
  </si>
  <si>
    <t>у тому числі видатки за рахунок цільових субвенцій з державного бюджету</t>
  </si>
  <si>
    <t>Освіта</t>
  </si>
  <si>
    <t>0113000</t>
  </si>
  <si>
    <t xml:space="preserve">Соціальний захист та соціальне забезпечення </t>
  </si>
  <si>
    <t>1000000</t>
  </si>
  <si>
    <t>Відділ освіти, молоді та спорту виконавчого комітету Баштанської міської ради</t>
  </si>
  <si>
    <t>1010000</t>
  </si>
  <si>
    <t>Разом</t>
  </si>
  <si>
    <t>Інші видатки на соціальний захист ветеранів війни та праці</t>
  </si>
  <si>
    <t>Відділ розвитку культури і туризму виконавчого комітету Баштанської міської ради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</si>
  <si>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</si>
  <si>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1060</t>
  </si>
  <si>
    <t>0921</t>
  </si>
  <si>
    <t>в тому числі:</t>
  </si>
  <si>
    <t>0960</t>
  </si>
  <si>
    <t>Утримання та навчально-тренувальна робота комунальних дитячо-юнацьких спортивних шкіл</t>
  </si>
  <si>
    <t>0160</t>
  </si>
  <si>
    <t>0824</t>
  </si>
  <si>
    <t>0110150</t>
  </si>
  <si>
    <t>0150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</si>
  <si>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</si>
  <si>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0113180</t>
  </si>
  <si>
    <t>0116030</t>
  </si>
  <si>
    <t>6030</t>
  </si>
  <si>
    <t>Організація благоустрою населених пунктів</t>
  </si>
  <si>
    <t>0118230</t>
  </si>
  <si>
    <t>0380</t>
  </si>
  <si>
    <t>Інші заходи громадського порядку та безпеки</t>
  </si>
  <si>
    <t>0116090</t>
  </si>
  <si>
    <t>6090</t>
  </si>
  <si>
    <t>0640</t>
  </si>
  <si>
    <t>Інша діяльність у сфері житлово-комунального господарства</t>
  </si>
  <si>
    <t>0118340</t>
  </si>
  <si>
    <t>Природоохоронні заходи за рахунок цільових фондів</t>
  </si>
  <si>
    <t>0600000</t>
  </si>
  <si>
    <t>0610000</t>
  </si>
  <si>
    <t>0610160</t>
  </si>
  <si>
    <t>0611000</t>
  </si>
  <si>
    <t>0611010</t>
  </si>
  <si>
    <t>Надання дошкільної освіти</t>
  </si>
  <si>
    <t>0615031</t>
  </si>
  <si>
    <t>0615061</t>
  </si>
  <si>
    <t>1010160</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</si>
  <si>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</si>
  <si>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</si>
  <si>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Інші заходи у сфері соціального захисту і соціального забезпечення</t>
  </si>
  <si>
    <t>0113242</t>
  </si>
  <si>
    <t>0114082</t>
  </si>
  <si>
    <t>Інші заходи в галузі культури і мистецтва</t>
  </si>
  <si>
    <t>Забезпечення діяльності інших закладів у сфері освіти</t>
  </si>
  <si>
    <t>Інші програми та заходи у сфері освіти</t>
  </si>
  <si>
    <t>0113191</t>
  </si>
  <si>
    <t>3191</t>
  </si>
  <si>
    <t>Код Функціональної класифікації видатків та кредитування бюджету</t>
  </si>
  <si>
    <t>усього</t>
  </si>
  <si>
    <t>у тому числі бюджет розвитку</t>
  </si>
  <si>
    <t>(грн)</t>
  </si>
  <si>
    <t>0116013</t>
  </si>
  <si>
    <t>Забезпечення діяльності водопровідно-каналізаційного господарства</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</si>
  <si>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</si>
  <si>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</si>
  <si>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</si>
  <si>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</si>
  <si>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Надання позашкільної освіти  закладами позашкільної освіти, заходи із позашкільної роботи з дітьми</t>
  </si>
  <si>
    <t>Надання спеціальної освіти мистецькими школами</t>
  </si>
  <si>
    <t>0117130</t>
  </si>
  <si>
    <t>0421</t>
  </si>
  <si>
    <t xml:space="preserve">Здійснення заходів із землеустрою </t>
  </si>
  <si>
    <t>Заступник міського голови з питань діяльності виконавчих органів ради</t>
  </si>
  <si>
    <t>Світлана ЄВДОЩЕНКО</t>
  </si>
  <si>
    <t>0731</t>
  </si>
  <si>
    <t>Багатопрофільна стаціонарна медична допомога населенню</t>
  </si>
  <si>
    <t>0112111</t>
  </si>
  <si>
    <t>0726</t>
  </si>
  <si>
    <t>0763</t>
  </si>
  <si>
    <t>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</si>
  <si>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0113050</t>
  </si>
  <si>
    <t>1070</t>
  </si>
  <si>
    <t>Пільгове медичне обслуговування осіб, які постраждали внаслідок Чорнобильської катастрофи</t>
  </si>
  <si>
    <t>0113090</t>
  </si>
  <si>
    <t>Видатки на поховання учасників бойових дій та осіб з інвалідністю внаслідок війни</t>
  </si>
  <si>
    <t>0113171</t>
  </si>
  <si>
    <t>0113033</t>
  </si>
  <si>
    <t>0113032</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</si>
  <si>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</si>
  <si>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</si>
  <si>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0113035</t>
  </si>
  <si>
    <t>Компенсаційні виплати за пільговий проїзд окремих категорій громадян на залізничному транспорті</t>
  </si>
  <si>
    <t>0113160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</si>
  <si>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</si>
  <si>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</si>
  <si>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</si>
  <si>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0110180</t>
  </si>
  <si>
    <t>Інша діяльність у сфері державного управління</t>
  </si>
  <si>
    <t>0110160</t>
  </si>
  <si>
    <t>1014030</t>
  </si>
  <si>
    <t>4030</t>
  </si>
  <si>
    <t>Забезпечення діяльності бібліотек</t>
  </si>
  <si>
    <t>3700000</t>
  </si>
  <si>
    <t>3710000</t>
  </si>
  <si>
    <t>Фінансовий відділ Баштанської міської ради</t>
  </si>
  <si>
    <t>3710160</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</si>
  <si>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</si>
  <si>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0112010</t>
  </si>
  <si>
    <t>3718710</t>
  </si>
  <si>
    <t>8710</t>
  </si>
  <si>
    <t>Резервний фонд місцевого бюджету</t>
  </si>
  <si>
    <t>Первинна медична допомога населенню, що надається центрами первинної медичної (медико-санітарної) допомоги</t>
  </si>
  <si>
    <t>0117361</t>
  </si>
  <si>
    <t>0490</t>
  </si>
  <si>
    <t>Співфінансування інвестиційних проектів, що реалізуються за рахунок коштів державного фонду регіонального розвитку</t>
  </si>
  <si>
    <t xml:space="preserve">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t>
  </si>
  <si>
    <t>0111160</t>
  </si>
  <si>
    <t>Забезпечення діяльності центрів професійного розвитку педагогічних працівників</t>
  </si>
  <si>
    <t>0117330</t>
  </si>
  <si>
    <t>0443</t>
  </si>
  <si>
    <t>Будівництво інших об"єктів комунальної власності</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</si>
  <si>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</si>
  <si>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</si>
  <si>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0611021</t>
  </si>
  <si>
    <t>1021</t>
  </si>
  <si>
    <t xml:space="preserve">Надання загальної середньої освіти закладами  загальної середньої освіти </t>
  </si>
  <si>
    <t>0611031</t>
  </si>
  <si>
    <t>1031</t>
  </si>
  <si>
    <t>0611070</t>
  </si>
  <si>
    <t>0611141</t>
  </si>
  <si>
    <t>1141</t>
  </si>
  <si>
    <t>0611142</t>
  </si>
  <si>
    <t>1142</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</si>
  <si>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</si>
  <si>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</si>
  <si>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</si>
  <si>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</si>
  <si>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</si>
  <si>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коштів освітньої субвенції</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</si>
  <si>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</si>
  <si>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</si>
  <si>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</si>
  <si>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0611020</t>
  </si>
  <si>
    <t>1020</t>
  </si>
  <si>
    <t>Надання загальної середньої освіти за рахунок коштів місцевого бюджету</t>
  </si>
  <si>
    <t>0611030</t>
  </si>
  <si>
    <t>Надання загальної середньої освіти за рахунок освітньої субвенції</t>
  </si>
  <si>
    <t>0112144</t>
  </si>
  <si>
    <t>Централізовані заходи з лікування хворих на цукровий та нецукровий діабет</t>
  </si>
  <si>
    <t>2144</t>
  </si>
  <si>
    <t>Уточнений розподіл</t>
  </si>
  <si>
    <t>видатків бюджету Баштанської міської територіальної громади  на 2021 рік</t>
  </si>
  <si>
    <t>0113111</t>
  </si>
  <si>
    <t>3111</t>
  </si>
  <si>
    <t>1040</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</si>
  <si>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</si>
  <si>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0117322</t>
  </si>
  <si>
    <t>7322</t>
  </si>
  <si>
    <t>Будівництво-1 медичних установ та закладів</t>
  </si>
  <si>
    <t>0611060</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</si>
  <si>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</si>
  <si>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0611061</t>
  </si>
  <si>
    <t>1061</t>
  </si>
  <si>
    <t>Надання загальної середньої освіти закладами загальної середньої освіти</t>
  </si>
  <si>
    <t>0617321</t>
  </si>
  <si>
    <t>7321</t>
  </si>
  <si>
    <t>Будівництво-1 освітніх установ та закладів</t>
  </si>
  <si>
    <t>1017324</t>
  </si>
  <si>
    <t>7324</t>
  </si>
  <si>
    <t>Будівництво-1 установ та закладів культури</t>
  </si>
  <si>
    <t>з них:</t>
  </si>
  <si>
    <t>за рахунок залишку коштів, що утворився на початок бюджетного періоду (залишок коштів міського бюджету станом на 01.01.2021)</t>
  </si>
  <si>
    <t>0117650</t>
  </si>
  <si>
    <t>7650</t>
  </si>
  <si>
    <t>Проведення експертної грошової оцінки земельної ділянки чи права на неї</t>
  </si>
  <si>
    <t>0117370</t>
  </si>
  <si>
    <t>Реалізація інших заходів щодо соціально-економічного розвитку територій</t>
  </si>
  <si>
    <t>0112152</t>
  </si>
  <si>
    <t>Інші програми та заходи у сфері охорони здоров"я</t>
  </si>
  <si>
    <t>0611154</t>
  </si>
  <si>
    <t>1154</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</si>
  <si>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</si>
  <si>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0119770</t>
  </si>
  <si>
    <t>Інші субвенції з місцевого бюджету</t>
  </si>
  <si>
    <t>субвенція з бюджету Баштанської міської територіальної громади обласному бюджету на реалізацію проєкту "Реконструкція частини приміщень відділення екстреної медичної допомоги КНП"Багатопрофільна лікарня Баштанського району" по вул.Ювілейна,3 м.Баштанка Миколаївської області"</t>
  </si>
  <si>
    <t>Додаток 3.1</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</si>
  <si>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</si>
  <si>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</si>
  <si>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</si>
  <si>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0613133</t>
  </si>
  <si>
    <t>3133</t>
  </si>
  <si>
    <t>Інші заходи та заклади молодіжної політики</t>
  </si>
  <si>
    <t>Будівництво освітніх установ та закладів</t>
  </si>
  <si>
    <t>0116082</t>
  </si>
  <si>
    <t>0610</t>
  </si>
  <si>
    <t>Придбання житла для окремих категорій населення відповідно до законодавства</t>
  </si>
  <si>
    <t>0117363</t>
  </si>
  <si>
    <t>Виконання інвестиційних проєктівв рамках здійснення заходів щодо соціально- економічного розвитку окремих територій</t>
  </si>
  <si>
    <t>0117540</t>
  </si>
  <si>
    <t>0460</t>
  </si>
  <si>
    <t>Реалізація заходів,спрямованих на підвищення доступності широкосмугового доступу до Інтернету в сільській місцевості</t>
  </si>
  <si>
    <t>за рахунок субвенції з державного бюджету на реалізацію заходів, спрямованих на підвищення доступності широкосмугового доступу Інтернету в сільській місцевості</t>
  </si>
  <si>
    <t>0617363</t>
  </si>
  <si>
    <t>0611181</t>
  </si>
  <si>
    <t>1181</t>
  </si>
  <si>
    <t xml:space="preserve">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  </t>
  </si>
  <si>
    <t>0611182</t>
  </si>
  <si>
    <t>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</si>
  <si>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</si>
  <si>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субвенція з бюджету Баштанської міської територіальної громади обласному бюджету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 інших форм здобуття загальної середньої освіти з використанням технологій дистанційного навчання</t>
  </si>
  <si>
    <t xml:space="preserve"> співфінансування на придбання житла для надання в тимчасове користування внутрішньо переміщеним особам, яке планується здійснити за рахунок субвенції з державного бюджету на здійснення заходів щодо підтримки територій, що зазнали негативного впливу внаслідок збройного конфлікту на сході України</t>
  </si>
  <si>
    <t xml:space="preserve"> за рахунок субвенції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t>
  </si>
  <si>
    <t>0118220</t>
  </si>
  <si>
    <t>Заходи та роботи з мобілізаційної підготовки місцевого значення</t>
  </si>
  <si>
    <t xml:space="preserve">                             2021 р.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</si>
</sst>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000"/>
    <numFmt numFmtId="182" formatCode="0.00000"/>
    <numFmt numFmtId="183" formatCode="0.0"/>
    <numFmt numFmtId="184" formatCode="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60">
    <font>
      <sz val="10"/>
      <name val="Arial Cyr"/>
      <family val="0"/>
    </font>
    <font>
      <b/>
      <sz val="10"/>
      <name val="Arial Cyr"/>
      <family val="0"/>
    </font>
    <font>
      <sz val="8"/>
      <name val="Arial Cyr"/>
      <family val="0"/>
    </font>
    <font>
      <sz val="7"/>
      <name val="Arial Cyr"/>
      <family val="0"/>
    </font>
    <font>
      <sz val="12"/>
      <name val="Times New Roman"/>
      <family val="1"/>
    </font>
    <font>
      <sz val="12"/>
      <name val="Arial Cyr"/>
      <family val="0"/>
    </font>
    <font>
      <sz val="10"/>
      <name val="Arial"/>
      <family val="2"/>
    </font>
    <font>
      <b/>
      <sz val="10"/>
      <name val="Arial"/>
      <family val="2"/>
    </font>
    <font>
      <sz val="12"/>
      <name val="Arial"/>
      <family val="2"/>
    </font>
    <font>
      <sz val="9"/>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0"/>
      <color indexed="10"/>
      <name val="Arial Cyr"/>
      <family val="0"/>
    </font>
    <font>
      <sz val="12"/>
      <color indexed="10"/>
      <name val="Arial Cyr"/>
      <family val="0"/>
    </font>
    <font>
      <sz val="10"/>
      <color indexed="8"/>
      <name val="Arial"/>
      <family val="2"/>
    </font>
    <font>
      <b/>
      <sz val="10"/>
      <color indexed="10"/>
      <name val="Arial Cyr"/>
      <family val="0"/>
    </font>
    <font>
      <b/>
      <sz val="10"/>
      <color indexed="10"/>
      <name val="Arial"/>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0"/>
      <color rgb="FFFF0000"/>
      <name val="Arial Cyr"/>
      <family val="0"/>
    </font>
    <font>
      <sz val="12"/>
      <color rgb="FFFF0000"/>
      <name val="Arial Cyr"/>
      <family val="0"/>
    </font>
    <font>
      <sz val="10"/>
      <color rgb="FF000000"/>
      <name val="Arial"/>
      <family val="2"/>
    </font>
    <font>
      <b/>
      <sz val="10"/>
      <color rgb="FFFF0000"/>
      <name val="Arial Cyr"/>
      <family val="0"/>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155">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180" fontId="1" fillId="0" borderId="10" xfId="0" applyNumberFormat="1" applyFont="1" applyBorder="1" applyAlignment="1" quotePrefix="1">
      <alignment vertical="center" wrapText="1"/>
    </xf>
    <xf numFmtId="180" fontId="1" fillId="33" borderId="10" xfId="0" applyNumberFormat="1" applyFont="1" applyFill="1" applyBorder="1" applyAlignment="1">
      <alignment vertical="center" wrapText="1"/>
    </xf>
    <xf numFmtId="180" fontId="1" fillId="0" borderId="10" xfId="0" applyNumberFormat="1" applyFont="1" applyBorder="1" applyAlignment="1">
      <alignment vertical="center" wrapText="1"/>
    </xf>
    <xf numFmtId="180" fontId="0" fillId="0" borderId="0" xfId="0" applyNumberFormat="1" applyAlignment="1">
      <alignment/>
    </xf>
    <xf numFmtId="0" fontId="5" fillId="0" borderId="0" xfId="0" applyFont="1" applyAlignment="1">
      <alignment/>
    </xf>
    <xf numFmtId="49" fontId="6" fillId="0" borderId="10" xfId="0" applyNumberFormat="1" applyFont="1" applyBorder="1" applyAlignment="1">
      <alignment vertical="top"/>
    </xf>
    <xf numFmtId="49" fontId="6" fillId="0" borderId="10" xfId="0" applyNumberFormat="1" applyFont="1" applyBorder="1" applyAlignment="1">
      <alignment horizontal="center" vertical="top" wrapText="1"/>
    </xf>
    <xf numFmtId="0" fontId="7" fillId="0" borderId="10" xfId="0" applyFont="1" applyBorder="1" applyAlignment="1">
      <alignment horizontal="left" vertical="top" wrapText="1"/>
    </xf>
    <xf numFmtId="49" fontId="6" fillId="0" borderId="10" xfId="0" applyNumberFormat="1" applyFont="1" applyFill="1" applyBorder="1" applyAlignment="1">
      <alignment horizontal="center" vertical="top" wrapText="1"/>
    </xf>
    <xf numFmtId="0" fontId="7" fillId="0" borderId="10" xfId="0" applyFont="1" applyBorder="1" applyAlignment="1">
      <alignment horizontal="justify" vertical="top" wrapText="1"/>
    </xf>
    <xf numFmtId="0" fontId="6" fillId="0" borderId="10" xfId="0" applyFont="1" applyBorder="1" applyAlignment="1">
      <alignment horizontal="justify" vertical="top" wrapText="1"/>
    </xf>
    <xf numFmtId="49" fontId="6" fillId="6" borderId="10" xfId="0" applyNumberFormat="1" applyFont="1" applyFill="1" applyBorder="1" applyAlignment="1">
      <alignment vertical="top"/>
    </xf>
    <xf numFmtId="49" fontId="6" fillId="6" borderId="10" xfId="0" applyNumberFormat="1" applyFont="1" applyFill="1" applyBorder="1" applyAlignment="1">
      <alignment horizontal="center" vertical="top" wrapText="1"/>
    </xf>
    <xf numFmtId="49" fontId="7" fillId="0" borderId="10" xfId="0" applyNumberFormat="1" applyFont="1" applyBorder="1" applyAlignment="1">
      <alignment horizontal="center" vertical="top" wrapText="1"/>
    </xf>
    <xf numFmtId="182" fontId="0" fillId="0" borderId="0" xfId="0" applyNumberFormat="1" applyAlignment="1">
      <alignment vertical="center"/>
    </xf>
    <xf numFmtId="49" fontId="6" fillId="0" borderId="10" xfId="0" applyNumberFormat="1" applyFont="1" applyBorder="1" applyAlignment="1">
      <alignment horizontal="center" vertical="top"/>
    </xf>
    <xf numFmtId="0" fontId="6" fillId="0" borderId="10" xfId="0" applyFont="1" applyBorder="1" applyAlignment="1">
      <alignment vertical="top" wrapText="1"/>
    </xf>
    <xf numFmtId="0" fontId="6" fillId="0" borderId="10" xfId="0" applyFont="1" applyBorder="1" applyAlignment="1">
      <alignment horizontal="left" vertical="top" wrapText="1"/>
    </xf>
    <xf numFmtId="0" fontId="6" fillId="0" borderId="10" xfId="0" applyFont="1" applyBorder="1" applyAlignment="1" quotePrefix="1">
      <alignment horizontal="center" vertical="top" wrapText="1"/>
    </xf>
    <xf numFmtId="180" fontId="6" fillId="0" borderId="10" xfId="0" applyNumberFormat="1" applyFont="1" applyBorder="1" applyAlignment="1" quotePrefix="1">
      <alignment horizontal="center" vertical="top" wrapText="1"/>
    </xf>
    <xf numFmtId="0" fontId="7" fillId="0" borderId="10" xfId="0" applyFont="1" applyBorder="1" applyAlignment="1" quotePrefix="1">
      <alignment horizontal="center" vertical="top" wrapText="1"/>
    </xf>
    <xf numFmtId="180" fontId="7" fillId="0" borderId="10" xfId="0" applyNumberFormat="1" applyFont="1" applyBorder="1" applyAlignment="1" quotePrefix="1">
      <alignment horizontal="center" vertical="top" wrapText="1"/>
    </xf>
    <xf numFmtId="180" fontId="6" fillId="0" borderId="10" xfId="0" applyNumberFormat="1" applyFont="1" applyBorder="1" applyAlignment="1">
      <alignment vertical="top" wrapText="1"/>
    </xf>
    <xf numFmtId="0" fontId="8" fillId="0" borderId="0" xfId="0" applyFont="1" applyAlignment="1">
      <alignment/>
    </xf>
    <xf numFmtId="49" fontId="6" fillId="0" borderId="10" xfId="0" applyNumberFormat="1" applyFont="1" applyBorder="1" applyAlignment="1">
      <alignment horizontal="left" vertical="top"/>
    </xf>
    <xf numFmtId="180" fontId="7" fillId="0" borderId="0" xfId="0" applyNumberFormat="1" applyFont="1" applyBorder="1" applyAlignment="1" quotePrefix="1">
      <alignment vertical="top" wrapText="1"/>
    </xf>
    <xf numFmtId="0" fontId="1" fillId="0" borderId="10" xfId="0" applyFont="1" applyBorder="1" applyAlignment="1" quotePrefix="1">
      <alignment horizontal="center" vertical="top" wrapText="1"/>
    </xf>
    <xf numFmtId="180" fontId="1" fillId="0" borderId="10" xfId="0" applyNumberFormat="1" applyFont="1" applyBorder="1" applyAlignment="1" quotePrefix="1">
      <alignment horizontal="center" vertical="top" wrapText="1"/>
    </xf>
    <xf numFmtId="180" fontId="1" fillId="33" borderId="10" xfId="0" applyNumberFormat="1" applyFont="1" applyFill="1" applyBorder="1" applyAlignment="1">
      <alignment vertical="top" wrapText="1"/>
    </xf>
    <xf numFmtId="180" fontId="1" fillId="0" borderId="10" xfId="0" applyNumberFormat="1" applyFont="1" applyBorder="1" applyAlignment="1">
      <alignment vertical="top" wrapText="1"/>
    </xf>
    <xf numFmtId="180" fontId="1" fillId="0" borderId="10" xfId="0" applyNumberFormat="1" applyFont="1" applyBorder="1" applyAlignment="1" quotePrefix="1">
      <alignment vertical="top" wrapText="1"/>
    </xf>
    <xf numFmtId="180" fontId="7" fillId="0" borderId="10" xfId="0" applyNumberFormat="1" applyFont="1" applyBorder="1" applyAlignment="1">
      <alignment vertical="top" wrapText="1"/>
    </xf>
    <xf numFmtId="0" fontId="1" fillId="33" borderId="10" xfId="0" applyFont="1" applyFill="1" applyBorder="1" applyAlignment="1">
      <alignment horizontal="center" vertical="top" wrapText="1"/>
    </xf>
    <xf numFmtId="0" fontId="1" fillId="33" borderId="10" xfId="0" applyFont="1" applyFill="1" applyBorder="1" applyAlignment="1" quotePrefix="1">
      <alignment horizontal="center" vertical="top" wrapText="1"/>
    </xf>
    <xf numFmtId="180" fontId="1" fillId="33" borderId="10" xfId="0" applyNumberFormat="1" applyFont="1" applyFill="1" applyBorder="1" applyAlignment="1">
      <alignment horizontal="center" vertical="top" wrapText="1"/>
    </xf>
    <xf numFmtId="0" fontId="6" fillId="0" borderId="10" xfId="0" applyFont="1" applyBorder="1" applyAlignment="1" quotePrefix="1">
      <alignment horizontal="left" vertical="top" wrapText="1"/>
    </xf>
    <xf numFmtId="0" fontId="7" fillId="6" borderId="10" xfId="0" applyFont="1" applyFill="1" applyBorder="1" applyAlignment="1">
      <alignment horizontal="left" vertical="top" wrapText="1"/>
    </xf>
    <xf numFmtId="0" fontId="7" fillId="0" borderId="10" xfId="0" applyFont="1" applyFill="1" applyBorder="1" applyAlignment="1">
      <alignment horizontal="center" vertical="top" wrapText="1"/>
    </xf>
    <xf numFmtId="0" fontId="7" fillId="0" borderId="10" xfId="0" applyFont="1" applyFill="1" applyBorder="1" applyAlignment="1" quotePrefix="1">
      <alignment horizontal="center" vertical="top" wrapText="1"/>
    </xf>
    <xf numFmtId="180" fontId="7" fillId="0" borderId="10" xfId="0" applyNumberFormat="1" applyFont="1" applyFill="1" applyBorder="1" applyAlignment="1">
      <alignment vertical="top" wrapText="1"/>
    </xf>
    <xf numFmtId="0" fontId="4" fillId="0" borderId="0" xfId="0" applyFont="1" applyAlignment="1">
      <alignment horizontal="left" vertical="top" wrapText="1"/>
    </xf>
    <xf numFmtId="0" fontId="6" fillId="0" borderId="0" xfId="0" applyFont="1" applyBorder="1" applyAlignment="1">
      <alignment horizontal="left" vertical="top" wrapText="1"/>
    </xf>
    <xf numFmtId="180" fontId="6" fillId="0" borderId="10" xfId="0" applyNumberFormat="1" applyFont="1" applyBorder="1" applyAlignment="1" quotePrefix="1">
      <alignment horizontal="left" vertical="top" wrapText="1"/>
    </xf>
    <xf numFmtId="180" fontId="54" fillId="0" borderId="10" xfId="0" applyNumberFormat="1" applyFont="1" applyBorder="1" applyAlignment="1">
      <alignment vertical="top"/>
    </xf>
    <xf numFmtId="180" fontId="54" fillId="0" borderId="10" xfId="0" applyNumberFormat="1" applyFont="1" applyBorder="1" applyAlignment="1">
      <alignment horizontal="right" vertical="top" wrapText="1"/>
    </xf>
    <xf numFmtId="0" fontId="0" fillId="0" borderId="0" xfId="0" applyFont="1" applyAlignment="1">
      <alignment/>
    </xf>
    <xf numFmtId="49" fontId="7" fillId="6" borderId="10" xfId="0" applyNumberFormat="1" applyFont="1" applyFill="1" applyBorder="1" applyAlignment="1">
      <alignment vertical="top"/>
    </xf>
    <xf numFmtId="49" fontId="7" fillId="6" borderId="10" xfId="0" applyNumberFormat="1" applyFont="1" applyFill="1" applyBorder="1" applyAlignment="1">
      <alignment horizontal="center" vertical="top" wrapText="1"/>
    </xf>
    <xf numFmtId="0" fontId="0" fillId="0" borderId="0" xfId="0" applyFont="1" applyAlignment="1">
      <alignment vertical="top"/>
    </xf>
    <xf numFmtId="0" fontId="1" fillId="0" borderId="11" xfId="0" applyFont="1" applyBorder="1" applyAlignment="1" quotePrefix="1">
      <alignment horizontal="center" vertical="top" wrapText="1"/>
    </xf>
    <xf numFmtId="180" fontId="1" fillId="0" borderId="11" xfId="0" applyNumberFormat="1" applyFont="1" applyBorder="1" applyAlignment="1" quotePrefix="1">
      <alignment horizontal="center" vertical="top" wrapText="1"/>
    </xf>
    <xf numFmtId="180" fontId="1" fillId="0" borderId="11" xfId="0" applyNumberFormat="1" applyFont="1" applyBorder="1" applyAlignment="1" quotePrefix="1">
      <alignment vertical="top" wrapText="1"/>
    </xf>
    <xf numFmtId="49" fontId="6" fillId="0" borderId="11" xfId="0" applyNumberFormat="1" applyFont="1" applyBorder="1" applyAlignment="1">
      <alignment horizontal="left" vertical="top"/>
    </xf>
    <xf numFmtId="49" fontId="6" fillId="0" borderId="11" xfId="0" applyNumberFormat="1" applyFont="1" applyBorder="1" applyAlignment="1">
      <alignment horizontal="center" vertical="top"/>
    </xf>
    <xf numFmtId="49" fontId="6" fillId="0" borderId="11" xfId="0" applyNumberFormat="1" applyFont="1" applyBorder="1" applyAlignment="1">
      <alignment horizontal="center" vertical="top" wrapText="1"/>
    </xf>
    <xf numFmtId="180" fontId="1" fillId="0" borderId="11" xfId="0" applyNumberFormat="1" applyFont="1" applyBorder="1" applyAlignment="1">
      <alignment vertical="top" wrapText="1"/>
    </xf>
    <xf numFmtId="49" fontId="1" fillId="0" borderId="11" xfId="0" applyNumberFormat="1" applyFont="1" applyBorder="1" applyAlignment="1">
      <alignment horizontal="center" vertical="top" wrapText="1"/>
    </xf>
    <xf numFmtId="0" fontId="7" fillId="6" borderId="10" xfId="0" applyFont="1" applyFill="1" applyBorder="1" applyAlignment="1">
      <alignment horizontal="justify" vertical="top" wrapText="1"/>
    </xf>
    <xf numFmtId="49" fontId="1" fillId="0" borderId="10" xfId="0" applyNumberFormat="1" applyFont="1" applyBorder="1" applyAlignment="1">
      <alignment horizontal="center" vertical="top" wrapText="1"/>
    </xf>
    <xf numFmtId="182" fontId="0" fillId="0" borderId="0" xfId="0" applyNumberFormat="1" applyAlignment="1">
      <alignment/>
    </xf>
    <xf numFmtId="0" fontId="0" fillId="34" borderId="10" xfId="0" applyFill="1" applyBorder="1" applyAlignment="1">
      <alignment horizontal="center" vertical="center" wrapText="1"/>
    </xf>
    <xf numFmtId="180" fontId="1" fillId="34" borderId="10" xfId="0" applyNumberFormat="1" applyFont="1" applyFill="1" applyBorder="1" applyAlignment="1">
      <alignment vertical="center" wrapText="1"/>
    </xf>
    <xf numFmtId="180" fontId="54" fillId="34" borderId="10" xfId="0" applyNumberFormat="1" applyFont="1" applyFill="1" applyBorder="1" applyAlignment="1">
      <alignment vertical="top"/>
    </xf>
    <xf numFmtId="0" fontId="55" fillId="0" borderId="0" xfId="0" applyFont="1" applyAlignment="1">
      <alignment vertical="center"/>
    </xf>
    <xf numFmtId="0" fontId="56" fillId="0" borderId="0" xfId="0" applyFont="1" applyAlignment="1">
      <alignment/>
    </xf>
    <xf numFmtId="0" fontId="55" fillId="0" borderId="0" xfId="0" applyFont="1" applyAlignment="1">
      <alignment/>
    </xf>
    <xf numFmtId="0" fontId="55" fillId="34" borderId="0" xfId="0" applyFont="1" applyFill="1" applyAlignment="1">
      <alignment/>
    </xf>
    <xf numFmtId="2" fontId="1" fillId="33" borderId="10" xfId="0" applyNumberFormat="1" applyFont="1" applyFill="1" applyBorder="1" applyAlignment="1">
      <alignment vertical="top" wrapText="1"/>
    </xf>
    <xf numFmtId="2" fontId="1" fillId="33" borderId="12" xfId="0" applyNumberFormat="1" applyFont="1" applyFill="1" applyBorder="1" applyAlignment="1">
      <alignment vertical="top" wrapText="1"/>
    </xf>
    <xf numFmtId="2" fontId="0" fillId="0" borderId="0" xfId="0" applyNumberFormat="1" applyFont="1" applyAlignment="1">
      <alignment vertical="top"/>
    </xf>
    <xf numFmtId="2" fontId="7" fillId="0" borderId="10" xfId="0" applyNumberFormat="1" applyFont="1" applyFill="1" applyBorder="1" applyAlignment="1">
      <alignment vertical="top" wrapText="1"/>
    </xf>
    <xf numFmtId="2" fontId="7" fillId="6" borderId="10" xfId="0" applyNumberFormat="1" applyFont="1" applyFill="1" applyBorder="1" applyAlignment="1">
      <alignment vertical="top"/>
    </xf>
    <xf numFmtId="2" fontId="6" fillId="0" borderId="10" xfId="0" applyNumberFormat="1" applyFont="1" applyBorder="1" applyAlignment="1">
      <alignment vertical="top" wrapText="1"/>
    </xf>
    <xf numFmtId="0" fontId="1" fillId="0" borderId="0" xfId="0" applyFont="1" applyAlignment="1">
      <alignment horizontal="center"/>
    </xf>
    <xf numFmtId="0" fontId="0" fillId="0" borderId="0" xfId="0" applyAlignment="1">
      <alignment horizontal="center"/>
    </xf>
    <xf numFmtId="0" fontId="57" fillId="0" borderId="10" xfId="0" applyFont="1" applyBorder="1" applyAlignment="1">
      <alignment vertical="top" wrapText="1"/>
    </xf>
    <xf numFmtId="49" fontId="1" fillId="0" borderId="10" xfId="0" applyNumberFormat="1" applyFont="1" applyBorder="1" applyAlignment="1" quotePrefix="1">
      <alignment horizontal="center" vertical="top" wrapText="1"/>
    </xf>
    <xf numFmtId="180" fontId="7" fillId="0" borderId="11" xfId="0" applyNumberFormat="1" applyFont="1" applyBorder="1" applyAlignment="1" quotePrefix="1">
      <alignment vertical="top" wrapText="1"/>
    </xf>
    <xf numFmtId="180" fontId="7" fillId="0" borderId="10" xfId="0" applyNumberFormat="1" applyFont="1" applyBorder="1" applyAlignment="1" quotePrefix="1">
      <alignment vertical="top" wrapText="1"/>
    </xf>
    <xf numFmtId="2" fontId="1" fillId="34" borderId="10" xfId="0" applyNumberFormat="1" applyFont="1" applyFill="1" applyBorder="1" applyAlignment="1">
      <alignment vertical="top" wrapText="1"/>
    </xf>
    <xf numFmtId="2" fontId="1" fillId="0" borderId="10" xfId="0" applyNumberFormat="1" applyFont="1" applyBorder="1" applyAlignment="1">
      <alignment vertical="top" wrapText="1"/>
    </xf>
    <xf numFmtId="182" fontId="7" fillId="6" borderId="0" xfId="0" applyNumberFormat="1" applyFont="1" applyFill="1" applyBorder="1" applyAlignment="1">
      <alignment vertical="top"/>
    </xf>
    <xf numFmtId="0" fontId="0" fillId="0" borderId="0" xfId="0" applyFont="1" applyBorder="1" applyAlignment="1">
      <alignment/>
    </xf>
    <xf numFmtId="0" fontId="0" fillId="0" borderId="0" xfId="0" applyBorder="1" applyAlignment="1">
      <alignment/>
    </xf>
    <xf numFmtId="0" fontId="1" fillId="0" borderId="0" xfId="0" applyFont="1" applyBorder="1" applyAlignment="1" quotePrefix="1">
      <alignment horizontal="center" vertical="top" wrapText="1"/>
    </xf>
    <xf numFmtId="180" fontId="1" fillId="0" borderId="0" xfId="0" applyNumberFormat="1" applyFont="1" applyBorder="1" applyAlignment="1" quotePrefix="1">
      <alignment horizontal="center" vertical="top" wrapText="1"/>
    </xf>
    <xf numFmtId="180" fontId="1" fillId="0" borderId="0" xfId="0" applyNumberFormat="1" applyFont="1" applyBorder="1" applyAlignment="1">
      <alignment vertical="top" wrapText="1"/>
    </xf>
    <xf numFmtId="2" fontId="6" fillId="0" borderId="10" xfId="0" applyNumberFormat="1" applyFont="1" applyBorder="1" applyAlignment="1">
      <alignment vertical="top"/>
    </xf>
    <xf numFmtId="0" fontId="10" fillId="0" borderId="0" xfId="0" applyFont="1" applyAlignment="1">
      <alignment/>
    </xf>
    <xf numFmtId="2" fontId="58" fillId="0" borderId="10" xfId="0" applyNumberFormat="1" applyFont="1" applyBorder="1" applyAlignment="1">
      <alignment vertical="top" wrapText="1"/>
    </xf>
    <xf numFmtId="2" fontId="0" fillId="33" borderId="10" xfId="0" applyNumberFormat="1" applyFont="1" applyFill="1" applyBorder="1" applyAlignment="1">
      <alignment vertical="top" wrapText="1"/>
    </xf>
    <xf numFmtId="2" fontId="0" fillId="34" borderId="10" xfId="0" applyNumberFormat="1" applyFont="1" applyFill="1" applyBorder="1" applyAlignment="1">
      <alignment vertical="top" wrapText="1"/>
    </xf>
    <xf numFmtId="2" fontId="6" fillId="34" borderId="10" xfId="0" applyNumberFormat="1" applyFont="1" applyFill="1" applyBorder="1" applyAlignment="1">
      <alignment vertical="top"/>
    </xf>
    <xf numFmtId="2" fontId="54" fillId="0" borderId="10" xfId="0" applyNumberFormat="1" applyFont="1" applyBorder="1" applyAlignment="1">
      <alignment vertical="top"/>
    </xf>
    <xf numFmtId="2" fontId="54" fillId="34" borderId="10" xfId="0" applyNumberFormat="1" applyFont="1" applyFill="1" applyBorder="1" applyAlignment="1">
      <alignment vertical="top"/>
    </xf>
    <xf numFmtId="2" fontId="7" fillId="0" borderId="10" xfId="0" applyNumberFormat="1" applyFont="1" applyBorder="1" applyAlignment="1">
      <alignment vertical="top"/>
    </xf>
    <xf numFmtId="2" fontId="7" fillId="34" borderId="10" xfId="0" applyNumberFormat="1" applyFont="1" applyFill="1" applyBorder="1" applyAlignment="1">
      <alignment vertical="top"/>
    </xf>
    <xf numFmtId="2" fontId="59" fillId="0" borderId="10" xfId="0" applyNumberFormat="1" applyFont="1" applyBorder="1" applyAlignment="1">
      <alignment vertical="top"/>
    </xf>
    <xf numFmtId="0" fontId="0" fillId="0" borderId="10" xfId="0" applyFont="1" applyBorder="1" applyAlignment="1" quotePrefix="1">
      <alignment horizontal="center" vertical="top" wrapText="1"/>
    </xf>
    <xf numFmtId="180" fontId="0" fillId="0" borderId="10" xfId="0" applyNumberFormat="1" applyFont="1" applyBorder="1" applyAlignment="1">
      <alignment vertical="top" wrapText="1"/>
    </xf>
    <xf numFmtId="1" fontId="6" fillId="0" borderId="10" xfId="0" applyNumberFormat="1" applyFont="1" applyBorder="1" applyAlignment="1" quotePrefix="1">
      <alignment horizontal="center" vertical="top" wrapText="1"/>
    </xf>
    <xf numFmtId="49" fontId="6" fillId="0" borderId="10" xfId="0" applyNumberFormat="1" applyFont="1" applyBorder="1" applyAlignment="1" quotePrefix="1">
      <alignment horizontal="center" vertical="top" wrapText="1"/>
    </xf>
    <xf numFmtId="1" fontId="0" fillId="0" borderId="10" xfId="0" applyNumberFormat="1" applyFont="1" applyBorder="1" applyAlignment="1" quotePrefix="1">
      <alignment horizontal="center" vertical="top" wrapText="1"/>
    </xf>
    <xf numFmtId="49" fontId="7" fillId="34" borderId="10" xfId="0" applyNumberFormat="1" applyFont="1" applyFill="1" applyBorder="1" applyAlignment="1">
      <alignment vertical="top"/>
    </xf>
    <xf numFmtId="49" fontId="7" fillId="34" borderId="10" xfId="0" applyNumberFormat="1" applyFont="1" applyFill="1" applyBorder="1" applyAlignment="1">
      <alignment horizontal="center" vertical="top" wrapText="1"/>
    </xf>
    <xf numFmtId="0" fontId="7" fillId="34" borderId="10" xfId="0" applyFont="1" applyFill="1" applyBorder="1" applyAlignment="1">
      <alignment horizontal="left" vertical="top" wrapText="1"/>
    </xf>
    <xf numFmtId="49" fontId="7" fillId="34" borderId="10" xfId="0" applyNumberFormat="1" applyFont="1" applyFill="1" applyBorder="1" applyAlignment="1">
      <alignment horizontal="center" vertical="top"/>
    </xf>
    <xf numFmtId="2" fontId="7" fillId="2" borderId="10" xfId="0" applyNumberFormat="1" applyFont="1" applyFill="1" applyBorder="1" applyAlignment="1">
      <alignment vertical="top"/>
    </xf>
    <xf numFmtId="2" fontId="0" fillId="0" borderId="0" xfId="0" applyNumberFormat="1" applyFont="1" applyAlignment="1">
      <alignment/>
    </xf>
    <xf numFmtId="180" fontId="7" fillId="0" borderId="11" xfId="0" applyNumberFormat="1" applyFont="1" applyBorder="1" applyAlignment="1">
      <alignment vertical="top" wrapText="1"/>
    </xf>
    <xf numFmtId="4" fontId="0" fillId="0" borderId="10" xfId="0" applyNumberFormat="1" applyFont="1" applyBorder="1" applyAlignment="1" quotePrefix="1">
      <alignment horizontal="center" vertical="top" wrapText="1"/>
    </xf>
    <xf numFmtId="4" fontId="0" fillId="0" borderId="10" xfId="0" applyNumberFormat="1" applyFont="1" applyBorder="1" applyAlignment="1" quotePrefix="1">
      <alignment vertical="top" wrapText="1"/>
    </xf>
    <xf numFmtId="0" fontId="0" fillId="0" borderId="10" xfId="0" applyBorder="1" applyAlignment="1" quotePrefix="1">
      <alignment horizontal="center" vertical="center" wrapText="1"/>
    </xf>
    <xf numFmtId="4" fontId="0" fillId="0" borderId="10" xfId="0" applyNumberFormat="1" applyBorder="1" applyAlignment="1" quotePrefix="1">
      <alignment horizontal="center" vertical="center" wrapText="1"/>
    </xf>
    <xf numFmtId="4" fontId="0" fillId="0" borderId="10" xfId="0" applyNumberFormat="1" applyBorder="1" applyAlignment="1" quotePrefix="1">
      <alignment vertical="center" wrapText="1"/>
    </xf>
    <xf numFmtId="0" fontId="0" fillId="0" borderId="10" xfId="0" applyBorder="1" applyAlignment="1" quotePrefix="1">
      <alignment horizontal="center" vertical="top" wrapText="1"/>
    </xf>
    <xf numFmtId="4" fontId="0" fillId="0" borderId="10" xfId="0" applyNumberFormat="1" applyBorder="1" applyAlignment="1" quotePrefix="1">
      <alignment horizontal="center" vertical="top" wrapText="1"/>
    </xf>
    <xf numFmtId="4" fontId="0" fillId="0" borderId="10" xfId="0" applyNumberFormat="1" applyBorder="1" applyAlignment="1" quotePrefix="1">
      <alignment vertical="top" wrapText="1"/>
    </xf>
    <xf numFmtId="0" fontId="7" fillId="0" borderId="0" xfId="0" applyFont="1" applyFill="1" applyBorder="1" applyAlignment="1">
      <alignment horizontal="center" vertical="top" wrapText="1"/>
    </xf>
    <xf numFmtId="0" fontId="7" fillId="0" borderId="0" xfId="0" applyFont="1" applyFill="1" applyBorder="1" applyAlignment="1" quotePrefix="1">
      <alignment horizontal="center" vertical="top" wrapText="1"/>
    </xf>
    <xf numFmtId="180" fontId="7" fillId="0" borderId="0" xfId="0" applyNumberFormat="1" applyFont="1" applyFill="1" applyBorder="1" applyAlignment="1">
      <alignment vertical="top" wrapText="1"/>
    </xf>
    <xf numFmtId="2" fontId="7" fillId="0" borderId="0" xfId="0" applyNumberFormat="1" applyFont="1" applyFill="1" applyBorder="1" applyAlignment="1">
      <alignment vertical="top" wrapText="1"/>
    </xf>
    <xf numFmtId="2" fontId="7" fillId="6" borderId="12" xfId="0" applyNumberFormat="1" applyFont="1" applyFill="1" applyBorder="1" applyAlignment="1">
      <alignment vertical="top"/>
    </xf>
    <xf numFmtId="0" fontId="0" fillId="0" borderId="10" xfId="0" applyFont="1" applyBorder="1" applyAlignment="1" quotePrefix="1">
      <alignment horizontal="center" vertical="top" wrapText="1"/>
    </xf>
    <xf numFmtId="180" fontId="6" fillId="0" borderId="11" xfId="0" applyNumberFormat="1" applyFont="1" applyBorder="1" applyAlignment="1" quotePrefix="1">
      <alignment vertical="top" wrapText="1"/>
    </xf>
    <xf numFmtId="2" fontId="58" fillId="34" borderId="10" xfId="0" applyNumberFormat="1" applyFont="1" applyFill="1" applyBorder="1" applyAlignment="1">
      <alignment vertical="top" wrapText="1"/>
    </xf>
    <xf numFmtId="0" fontId="35" fillId="0" borderId="10" xfId="0" applyFont="1" applyBorder="1" applyAlignment="1" quotePrefix="1">
      <alignment horizontal="center" vertical="top" wrapText="1"/>
    </xf>
    <xf numFmtId="0" fontId="0" fillId="0" borderId="0" xfId="0" applyBorder="1" applyAlignment="1" quotePrefix="1">
      <alignment horizontal="center" vertical="center" wrapText="1"/>
    </xf>
    <xf numFmtId="4" fontId="0" fillId="0" borderId="0" xfId="0" applyNumberFormat="1" applyBorder="1" applyAlignment="1" quotePrefix="1">
      <alignment horizontal="center" vertical="center" wrapText="1"/>
    </xf>
    <xf numFmtId="4" fontId="0" fillId="0" borderId="0" xfId="0" applyNumberFormat="1" applyBorder="1" applyAlignment="1" quotePrefix="1">
      <alignment vertical="center" wrapText="1"/>
    </xf>
    <xf numFmtId="180" fontId="0" fillId="0" borderId="10" xfId="0" applyNumberFormat="1" applyFont="1" applyBorder="1" applyAlignment="1" quotePrefix="1">
      <alignment horizontal="center" vertical="top" wrapText="1"/>
    </xf>
    <xf numFmtId="180" fontId="0" fillId="0" borderId="10" xfId="0" applyNumberFormat="1" applyFont="1" applyBorder="1" applyAlignment="1">
      <alignment vertical="top" wrapText="1"/>
    </xf>
    <xf numFmtId="4" fontId="35" fillId="0" borderId="10" xfId="0" applyNumberFormat="1" applyFont="1" applyBorder="1" applyAlignment="1">
      <alignment vertical="top" wrapText="1"/>
    </xf>
    <xf numFmtId="180" fontId="0" fillId="0" borderId="10" xfId="0" applyNumberFormat="1" applyBorder="1" applyAlignment="1">
      <alignment vertical="top"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0" xfId="0" applyAlignment="1">
      <alignment horizontal="right"/>
    </xf>
    <xf numFmtId="0" fontId="10" fillId="0" borderId="0" xfId="0" applyFont="1" applyAlignment="1">
      <alignment horizontal="center" vertical="center"/>
    </xf>
    <xf numFmtId="0" fontId="0" fillId="0" borderId="14" xfId="0" applyBorder="1" applyAlignment="1">
      <alignment horizontal="center"/>
    </xf>
    <xf numFmtId="0" fontId="0" fillId="0" borderId="15" xfId="0"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58"/>
  <sheetViews>
    <sheetView tabSelected="1" view="pageBreakPreview" zoomScale="75" zoomScaleSheetLayoutView="75" workbookViewId="0" topLeftCell="A1">
      <pane ySplit="13" topLeftCell="A113" activePane="bottomLeft" state="frozen"/>
      <selection pane="topLeft" activeCell="B1" sqref="B1"/>
      <selection pane="bottomLeft" activeCell="E120" sqref="E120"/>
    </sheetView>
  </sheetViews>
  <sheetFormatPr defaultColWidth="9.00390625" defaultRowHeight="12.75"/>
  <cols>
    <col min="1" max="3" width="12.00390625" style="0" customWidth="1"/>
    <col min="4" max="4" width="40.75390625" style="0" customWidth="1"/>
    <col min="5" max="5" width="18.00390625" style="0" customWidth="1"/>
    <col min="6" max="7" width="14.375" style="0" customWidth="1"/>
    <col min="8" max="8" width="16.00390625" style="0" customWidth="1"/>
    <col min="9" max="9" width="15.125" style="0" customWidth="1"/>
    <col min="10" max="10" width="19.875" style="0" customWidth="1"/>
    <col min="11" max="11" width="14.125" style="0" customWidth="1"/>
    <col min="12" max="12" width="13.375" style="0" customWidth="1"/>
    <col min="13" max="13" width="13.125" style="0" customWidth="1"/>
    <col min="14" max="14" width="14.25390625" style="0" customWidth="1"/>
    <col min="15" max="15" width="12.875" style="0" customWidth="1"/>
    <col min="16" max="16" width="15.125" style="0" customWidth="1"/>
    <col min="17" max="17" width="12.125" style="0" bestFit="1" customWidth="1"/>
    <col min="18" max="18" width="14.375" style="0" bestFit="1" customWidth="1"/>
  </cols>
  <sheetData>
    <row r="1" spans="1:14" ht="12.75">
      <c r="A1" t="s">
        <v>0</v>
      </c>
      <c r="N1" t="s">
        <v>209</v>
      </c>
    </row>
    <row r="2" ht="12.75">
      <c r="N2" t="s">
        <v>27</v>
      </c>
    </row>
    <row r="3" spans="14:15" ht="12.75">
      <c r="N3" s="151" t="s">
        <v>238</v>
      </c>
      <c r="O3" s="151"/>
    </row>
    <row r="5" spans="1:16" ht="12.75">
      <c r="A5" s="143" t="s">
        <v>174</v>
      </c>
      <c r="B5" s="144"/>
      <c r="C5" s="144"/>
      <c r="D5" s="144"/>
      <c r="E5" s="144"/>
      <c r="F5" s="144"/>
      <c r="G5" s="144"/>
      <c r="H5" s="144"/>
      <c r="I5" s="144"/>
      <c r="J5" s="144"/>
      <c r="K5" s="144"/>
      <c r="L5" s="144"/>
      <c r="M5" s="144"/>
      <c r="N5" s="144"/>
      <c r="O5" s="144"/>
      <c r="P5" s="144"/>
    </row>
    <row r="6" spans="1:16" ht="12.75">
      <c r="A6" s="143" t="s">
        <v>175</v>
      </c>
      <c r="B6" s="144"/>
      <c r="C6" s="144"/>
      <c r="D6" s="144"/>
      <c r="E6" s="144"/>
      <c r="F6" s="144"/>
      <c r="G6" s="144"/>
      <c r="H6" s="144"/>
      <c r="I6" s="144"/>
      <c r="J6" s="144"/>
      <c r="K6" s="144"/>
      <c r="L6" s="144"/>
      <c r="M6" s="144"/>
      <c r="N6" s="144"/>
      <c r="O6" s="144"/>
      <c r="P6" s="144"/>
    </row>
    <row r="7" spans="1:16" ht="12.75">
      <c r="A7" s="82"/>
      <c r="B7" s="83"/>
      <c r="C7" s="83"/>
      <c r="D7" s="83"/>
      <c r="E7" s="83"/>
      <c r="F7" s="83"/>
      <c r="G7" s="83"/>
      <c r="H7" s="83"/>
      <c r="I7" s="83"/>
      <c r="J7" s="83"/>
      <c r="K7" s="83"/>
      <c r="L7" s="83"/>
      <c r="M7" s="83"/>
      <c r="N7" s="83"/>
      <c r="O7" s="83"/>
      <c r="P7" s="83"/>
    </row>
    <row r="8" spans="1:16" ht="12.75">
      <c r="A8" s="82"/>
      <c r="B8" s="153">
        <v>14502000000</v>
      </c>
      <c r="C8" s="153"/>
      <c r="D8" s="83"/>
      <c r="E8" s="83"/>
      <c r="F8" s="83"/>
      <c r="G8" s="83"/>
      <c r="H8" s="83"/>
      <c r="I8" s="83"/>
      <c r="J8" s="83"/>
      <c r="K8" s="83"/>
      <c r="L8" s="83"/>
      <c r="M8" s="83"/>
      <c r="N8" s="83"/>
      <c r="O8" s="83"/>
      <c r="P8" s="83"/>
    </row>
    <row r="9" spans="2:16" ht="12.75">
      <c r="B9" s="154" t="s">
        <v>87</v>
      </c>
      <c r="C9" s="154"/>
      <c r="P9" s="1" t="s">
        <v>84</v>
      </c>
    </row>
    <row r="10" spans="1:16" ht="12.75">
      <c r="A10" s="145" t="s">
        <v>88</v>
      </c>
      <c r="B10" s="145" t="s">
        <v>89</v>
      </c>
      <c r="C10" s="145" t="s">
        <v>81</v>
      </c>
      <c r="D10" s="146" t="s">
        <v>90</v>
      </c>
      <c r="E10" s="146" t="s">
        <v>1</v>
      </c>
      <c r="F10" s="146"/>
      <c r="G10" s="146"/>
      <c r="H10" s="146"/>
      <c r="I10" s="146"/>
      <c r="J10" s="146" t="s">
        <v>8</v>
      </c>
      <c r="K10" s="146"/>
      <c r="L10" s="146"/>
      <c r="M10" s="146"/>
      <c r="N10" s="146"/>
      <c r="O10" s="146"/>
      <c r="P10" s="147" t="s">
        <v>35</v>
      </c>
    </row>
    <row r="11" spans="1:16" ht="12.75">
      <c r="A11" s="146"/>
      <c r="B11" s="146"/>
      <c r="C11" s="146"/>
      <c r="D11" s="146"/>
      <c r="E11" s="147" t="s">
        <v>82</v>
      </c>
      <c r="F11" s="146" t="s">
        <v>3</v>
      </c>
      <c r="G11" s="146" t="s">
        <v>4</v>
      </c>
      <c r="H11" s="146"/>
      <c r="I11" s="146" t="s">
        <v>7</v>
      </c>
      <c r="J11" s="147" t="s">
        <v>82</v>
      </c>
      <c r="K11" s="148" t="s">
        <v>83</v>
      </c>
      <c r="L11" s="146" t="s">
        <v>3</v>
      </c>
      <c r="M11" s="146" t="s">
        <v>4</v>
      </c>
      <c r="N11" s="146"/>
      <c r="O11" s="146" t="s">
        <v>7</v>
      </c>
      <c r="P11" s="146"/>
    </row>
    <row r="12" spans="1:16" ht="12.75" customHeight="1">
      <c r="A12" s="146"/>
      <c r="B12" s="146"/>
      <c r="C12" s="146"/>
      <c r="D12" s="146"/>
      <c r="E12" s="146"/>
      <c r="F12" s="146"/>
      <c r="G12" s="146" t="s">
        <v>5</v>
      </c>
      <c r="H12" s="146" t="s">
        <v>6</v>
      </c>
      <c r="I12" s="146"/>
      <c r="J12" s="146"/>
      <c r="K12" s="149"/>
      <c r="L12" s="146"/>
      <c r="M12" s="146" t="s">
        <v>5</v>
      </c>
      <c r="N12" s="146" t="s">
        <v>6</v>
      </c>
      <c r="O12" s="146"/>
      <c r="P12" s="146"/>
    </row>
    <row r="13" spans="1:16" ht="58.5" customHeight="1">
      <c r="A13" s="146"/>
      <c r="B13" s="146"/>
      <c r="C13" s="146"/>
      <c r="D13" s="146"/>
      <c r="E13" s="146"/>
      <c r="F13" s="146"/>
      <c r="G13" s="146"/>
      <c r="H13" s="146"/>
      <c r="I13" s="146"/>
      <c r="J13" s="146"/>
      <c r="K13" s="150"/>
      <c r="L13" s="146"/>
      <c r="M13" s="146"/>
      <c r="N13" s="146"/>
      <c r="O13" s="146"/>
      <c r="P13" s="146"/>
    </row>
    <row r="14" spans="1:16" ht="12.75">
      <c r="A14" s="4">
        <v>1</v>
      </c>
      <c r="B14" s="4">
        <v>2</v>
      </c>
      <c r="C14" s="4">
        <v>3</v>
      </c>
      <c r="D14" s="4">
        <v>4</v>
      </c>
      <c r="E14" s="5">
        <v>5</v>
      </c>
      <c r="F14" s="4">
        <v>6</v>
      </c>
      <c r="G14" s="4">
        <v>7</v>
      </c>
      <c r="H14" s="4">
        <v>8</v>
      </c>
      <c r="I14" s="4">
        <v>9</v>
      </c>
      <c r="J14" s="5">
        <v>10</v>
      </c>
      <c r="K14" s="69">
        <v>11</v>
      </c>
      <c r="L14" s="4">
        <v>12</v>
      </c>
      <c r="M14" s="4">
        <v>13</v>
      </c>
      <c r="N14" s="4">
        <v>14</v>
      </c>
      <c r="O14" s="4">
        <v>15</v>
      </c>
      <c r="P14" s="5">
        <v>16</v>
      </c>
    </row>
    <row r="15" spans="1:16" ht="12.75">
      <c r="A15" s="6" t="s">
        <v>9</v>
      </c>
      <c r="B15" s="7"/>
      <c r="C15" s="8"/>
      <c r="D15" s="9" t="s">
        <v>10</v>
      </c>
      <c r="E15" s="10"/>
      <c r="F15" s="11"/>
      <c r="G15" s="11"/>
      <c r="H15" s="11"/>
      <c r="I15" s="11"/>
      <c r="J15" s="10"/>
      <c r="K15" s="70"/>
      <c r="L15" s="11"/>
      <c r="M15" s="11"/>
      <c r="N15" s="11"/>
      <c r="O15" s="11"/>
      <c r="P15" s="10"/>
    </row>
    <row r="16" spans="1:16" ht="12.75">
      <c r="A16" s="6" t="s">
        <v>11</v>
      </c>
      <c r="B16" s="7"/>
      <c r="C16" s="8"/>
      <c r="D16" s="9" t="s">
        <v>10</v>
      </c>
      <c r="E16" s="10"/>
      <c r="F16" s="11"/>
      <c r="G16" s="11"/>
      <c r="H16" s="11"/>
      <c r="I16" s="11"/>
      <c r="J16" s="10"/>
      <c r="K16" s="70"/>
      <c r="L16" s="11"/>
      <c r="M16" s="11"/>
      <c r="N16" s="11"/>
      <c r="O16" s="11"/>
      <c r="P16" s="10"/>
    </row>
    <row r="17" spans="1:16" s="54" customFormat="1" ht="87.75" customHeight="1">
      <c r="A17" s="35" t="s">
        <v>46</v>
      </c>
      <c r="B17" s="35" t="s">
        <v>47</v>
      </c>
      <c r="C17" s="36" t="s">
        <v>12</v>
      </c>
      <c r="D17" s="34" t="s">
        <v>38</v>
      </c>
      <c r="E17" s="76">
        <f aca="true" t="shared" si="0" ref="E17:E24">F17+I17</f>
        <v>21233804</v>
      </c>
      <c r="F17" s="89">
        <f>19762695+25300+581400+310900+74606+17700+46381-30000+163200+105378+58000+30000-32706+51450+69500</f>
        <v>21233804</v>
      </c>
      <c r="G17" s="89">
        <f>14816808+476600+254900</f>
        <v>15548308</v>
      </c>
      <c r="H17" s="89">
        <f>588647+15000+31900+76378+58000+30000</f>
        <v>799925</v>
      </c>
      <c r="I17" s="89">
        <v>0</v>
      </c>
      <c r="J17" s="76">
        <f>L17+O17</f>
        <v>5039</v>
      </c>
      <c r="K17" s="88">
        <f>145473+30000-12273-163200</f>
        <v>0</v>
      </c>
      <c r="L17" s="89">
        <v>5039</v>
      </c>
      <c r="M17" s="89">
        <v>0</v>
      </c>
      <c r="N17" s="89">
        <v>0</v>
      </c>
      <c r="O17" s="89"/>
      <c r="P17" s="76">
        <f aca="true" t="shared" si="1" ref="P17:P24">E17+J17</f>
        <v>21238843</v>
      </c>
    </row>
    <row r="18" spans="1:16" s="54" customFormat="1" ht="64.5" customHeight="1">
      <c r="A18" s="35" t="s">
        <v>122</v>
      </c>
      <c r="B18" s="35" t="s">
        <v>44</v>
      </c>
      <c r="C18" s="36" t="s">
        <v>12</v>
      </c>
      <c r="D18" s="87" t="s">
        <v>145</v>
      </c>
      <c r="E18" s="76">
        <f t="shared" si="0"/>
        <v>417460</v>
      </c>
      <c r="F18" s="89">
        <f>509660-57000-25200-10000</f>
        <v>417460</v>
      </c>
      <c r="G18" s="89">
        <f>365460-46700-10000</f>
        <v>308760</v>
      </c>
      <c r="H18" s="89">
        <f>37300-25200</f>
        <v>12100</v>
      </c>
      <c r="I18" s="89"/>
      <c r="J18" s="76"/>
      <c r="K18" s="88"/>
      <c r="L18" s="98"/>
      <c r="M18" s="89"/>
      <c r="N18" s="89"/>
      <c r="O18" s="89"/>
      <c r="P18" s="76">
        <f t="shared" si="1"/>
        <v>417460</v>
      </c>
    </row>
    <row r="19" spans="1:16" s="54" customFormat="1" ht="42.75" customHeight="1">
      <c r="A19" s="35" t="s">
        <v>120</v>
      </c>
      <c r="B19" s="35" t="s">
        <v>23</v>
      </c>
      <c r="C19" s="36" t="s">
        <v>22</v>
      </c>
      <c r="D19" s="87" t="s">
        <v>121</v>
      </c>
      <c r="E19" s="76">
        <f t="shared" si="0"/>
        <v>597300</v>
      </c>
      <c r="F19" s="89">
        <f>301600+74900+124000+96800</f>
        <v>597300</v>
      </c>
      <c r="G19" s="89"/>
      <c r="H19" s="89"/>
      <c r="I19" s="89"/>
      <c r="J19" s="76"/>
      <c r="K19" s="88"/>
      <c r="L19" s="98"/>
      <c r="M19" s="89"/>
      <c r="N19" s="89"/>
      <c r="O19" s="89"/>
      <c r="P19" s="76">
        <f t="shared" si="1"/>
        <v>597300</v>
      </c>
    </row>
    <row r="20" spans="1:16" s="54" customFormat="1" ht="48.75" customHeight="1">
      <c r="A20" s="35" t="s">
        <v>140</v>
      </c>
      <c r="B20" s="35">
        <v>1160</v>
      </c>
      <c r="C20" s="36" t="s">
        <v>15</v>
      </c>
      <c r="D20" s="87" t="s">
        <v>141</v>
      </c>
      <c r="E20" s="76">
        <f t="shared" si="0"/>
        <v>982668</v>
      </c>
      <c r="F20" s="89">
        <f>996858-43500-14190+43500</f>
        <v>982668</v>
      </c>
      <c r="G20" s="89">
        <f>812332-70048</f>
        <v>742284</v>
      </c>
      <c r="H20" s="89">
        <v>17028</v>
      </c>
      <c r="I20" s="89"/>
      <c r="J20" s="76">
        <f>L20+O20</f>
        <v>0</v>
      </c>
      <c r="K20" s="88"/>
      <c r="L20" s="98"/>
      <c r="M20" s="89"/>
      <c r="N20" s="89"/>
      <c r="O20" s="89"/>
      <c r="P20" s="76">
        <f t="shared" si="1"/>
        <v>982668</v>
      </c>
    </row>
    <row r="21" spans="1:16" s="54" customFormat="1" ht="42" customHeight="1">
      <c r="A21" s="35" t="s">
        <v>131</v>
      </c>
      <c r="B21" s="35">
        <v>2010</v>
      </c>
      <c r="C21" s="85" t="s">
        <v>98</v>
      </c>
      <c r="D21" s="87" t="s">
        <v>99</v>
      </c>
      <c r="E21" s="76">
        <f t="shared" si="0"/>
        <v>3077709</v>
      </c>
      <c r="F21" s="89">
        <f>1656010+513400-33500+529900+20678+299000+29300+7100+55821</f>
        <v>3077709</v>
      </c>
      <c r="G21" s="89"/>
      <c r="H21" s="89"/>
      <c r="I21" s="89"/>
      <c r="J21" s="76">
        <f>L21+O21</f>
        <v>488303</v>
      </c>
      <c r="K21" s="88">
        <f>499124-10821</f>
        <v>488303</v>
      </c>
      <c r="L21" s="98"/>
      <c r="M21" s="89"/>
      <c r="N21" s="89"/>
      <c r="O21" s="89">
        <f>499124-10821</f>
        <v>488303</v>
      </c>
      <c r="P21" s="76">
        <f t="shared" si="1"/>
        <v>3566012</v>
      </c>
    </row>
    <row r="22" spans="1:16" s="54" customFormat="1" ht="51.75" customHeight="1">
      <c r="A22" s="35" t="s">
        <v>100</v>
      </c>
      <c r="B22" s="35">
        <v>2111</v>
      </c>
      <c r="C22" s="85" t="s">
        <v>101</v>
      </c>
      <c r="D22" s="86" t="s">
        <v>135</v>
      </c>
      <c r="E22" s="76">
        <f t="shared" si="0"/>
        <v>2113509.7199999997</v>
      </c>
      <c r="F22" s="89">
        <f>1046325+243298-8698-5188.09+699572.81+100000+18200+20000</f>
        <v>2113509.7199999997</v>
      </c>
      <c r="G22" s="89"/>
      <c r="H22" s="89"/>
      <c r="I22" s="89"/>
      <c r="J22" s="76">
        <f>L22+O22</f>
        <v>60000</v>
      </c>
      <c r="K22" s="88">
        <v>60000</v>
      </c>
      <c r="L22" s="89"/>
      <c r="M22" s="89"/>
      <c r="N22" s="89"/>
      <c r="O22" s="89">
        <v>60000</v>
      </c>
      <c r="P22" s="76">
        <f t="shared" si="1"/>
        <v>2173509.7199999997</v>
      </c>
    </row>
    <row r="23" spans="1:16" s="54" customFormat="1" ht="36" customHeight="1">
      <c r="A23" s="124" t="s">
        <v>201</v>
      </c>
      <c r="B23" s="132">
        <v>2152</v>
      </c>
      <c r="C23" s="125" t="s">
        <v>102</v>
      </c>
      <c r="D23" s="133" t="s">
        <v>202</v>
      </c>
      <c r="E23" s="76">
        <f t="shared" si="0"/>
        <v>64498</v>
      </c>
      <c r="F23" s="89">
        <f>30000+5800+8698+8000+15000+12000-15000</f>
        <v>64498</v>
      </c>
      <c r="G23" s="89"/>
      <c r="H23" s="89"/>
      <c r="I23" s="89"/>
      <c r="J23" s="76">
        <f>L23+O23</f>
        <v>0</v>
      </c>
      <c r="K23" s="88"/>
      <c r="L23" s="89"/>
      <c r="M23" s="89"/>
      <c r="N23" s="89"/>
      <c r="O23" s="89"/>
      <c r="P23" s="76">
        <f t="shared" si="1"/>
        <v>64498</v>
      </c>
    </row>
    <row r="24" spans="1:16" s="54" customFormat="1" ht="42" customHeight="1">
      <c r="A24" s="35" t="s">
        <v>171</v>
      </c>
      <c r="B24" s="67" t="s">
        <v>173</v>
      </c>
      <c r="C24" s="85" t="s">
        <v>102</v>
      </c>
      <c r="D24" s="118" t="s">
        <v>172</v>
      </c>
      <c r="E24" s="76">
        <f t="shared" si="0"/>
        <v>747800</v>
      </c>
      <c r="F24" s="89">
        <f>343000+59800+95700+249300</f>
        <v>747800</v>
      </c>
      <c r="G24" s="89"/>
      <c r="H24" s="89"/>
      <c r="I24" s="89"/>
      <c r="J24" s="76"/>
      <c r="K24" s="88"/>
      <c r="L24" s="89"/>
      <c r="M24" s="89"/>
      <c r="N24" s="89"/>
      <c r="O24" s="89"/>
      <c r="P24" s="76">
        <f t="shared" si="1"/>
        <v>747800</v>
      </c>
    </row>
    <row r="25" spans="1:16" s="54" customFormat="1" ht="21" customHeight="1">
      <c r="A25" s="35"/>
      <c r="B25" s="35"/>
      <c r="C25" s="85"/>
      <c r="D25" s="86" t="s">
        <v>41</v>
      </c>
      <c r="E25" s="76"/>
      <c r="F25" s="89"/>
      <c r="G25" s="89"/>
      <c r="H25" s="89"/>
      <c r="I25" s="89"/>
      <c r="J25" s="76"/>
      <c r="K25" s="88"/>
      <c r="L25" s="89"/>
      <c r="M25" s="89"/>
      <c r="N25" s="89"/>
      <c r="O25" s="89"/>
      <c r="P25" s="76"/>
    </row>
    <row r="26" spans="1:16" s="54" customFormat="1" ht="70.5" customHeight="1">
      <c r="A26" s="35"/>
      <c r="B26" s="35"/>
      <c r="C26" s="85"/>
      <c r="D26" s="86" t="s">
        <v>103</v>
      </c>
      <c r="E26" s="76">
        <f aca="true" t="shared" si="2" ref="E26:E36">F26+I26</f>
        <v>747800</v>
      </c>
      <c r="F26" s="89">
        <f>343000+59800+95700+249300</f>
        <v>747800</v>
      </c>
      <c r="G26" s="89"/>
      <c r="H26" s="89"/>
      <c r="I26" s="89"/>
      <c r="J26" s="76"/>
      <c r="K26" s="88"/>
      <c r="L26" s="89"/>
      <c r="M26" s="89"/>
      <c r="N26" s="89"/>
      <c r="O26" s="89"/>
      <c r="P26" s="76">
        <f aca="true" t="shared" si="3" ref="P26:P36">E26+J26</f>
        <v>747800</v>
      </c>
    </row>
    <row r="27" spans="1:16" s="54" customFormat="1" ht="36.75" customHeight="1">
      <c r="A27" s="35" t="s">
        <v>30</v>
      </c>
      <c r="B27" s="35"/>
      <c r="C27" s="36"/>
      <c r="D27" s="38" t="s">
        <v>31</v>
      </c>
      <c r="E27" s="76">
        <f t="shared" si="2"/>
        <v>7506137</v>
      </c>
      <c r="F27" s="89">
        <f>F37+F39+F41+F28+F29+F30+F31+F32+F33+F35+F36+F34</f>
        <v>7506137</v>
      </c>
      <c r="G27" s="89">
        <f>G37+G39+G41+G28+G29+G30+G31+G32+G33+G35+G36+G34</f>
        <v>4317763</v>
      </c>
      <c r="H27" s="89">
        <f>H37+H39+H41+H28+H29+H30+H31+H32+H33+H35+H36+H34</f>
        <v>368530</v>
      </c>
      <c r="I27" s="89">
        <f>I37+I39+I41+I28+I29+I30+I31+I32+I33+I35+I36+I34</f>
        <v>0</v>
      </c>
      <c r="J27" s="76">
        <f>L27+O27</f>
        <v>387100</v>
      </c>
      <c r="K27" s="89">
        <f>K37+K39+K41+K28+K29+K30+K31+K32+K33+K35+K36</f>
        <v>0</v>
      </c>
      <c r="L27" s="89">
        <f>L37+L39+L41+L28+L29+L30+L31+L32+L33+L35+L36</f>
        <v>387100</v>
      </c>
      <c r="M27" s="89">
        <f>M37+M39+M41+M28+M29+M30+M31+M32+M33+M35+M36</f>
        <v>55000</v>
      </c>
      <c r="N27" s="89">
        <f>N37+N39+N41+N28+N29+N30+N31+N32+N33+N35+N36</f>
        <v>0</v>
      </c>
      <c r="O27" s="89">
        <f>O37+O39+O41+O28+O29+O30+O31+O32+O33+O35+O36</f>
        <v>0</v>
      </c>
      <c r="P27" s="76">
        <f t="shared" si="3"/>
        <v>7893237</v>
      </c>
    </row>
    <row r="28" spans="1:16" s="54" customFormat="1" ht="36.75" customHeight="1">
      <c r="A28" s="27" t="s">
        <v>111</v>
      </c>
      <c r="B28" s="107">
        <v>3032</v>
      </c>
      <c r="C28" s="111">
        <v>1070</v>
      </c>
      <c r="D28" s="108" t="s">
        <v>112</v>
      </c>
      <c r="E28" s="76">
        <f t="shared" si="2"/>
        <v>65000</v>
      </c>
      <c r="F28" s="89">
        <v>65000</v>
      </c>
      <c r="G28" s="89"/>
      <c r="H28" s="89"/>
      <c r="I28" s="89"/>
      <c r="J28" s="76"/>
      <c r="K28" s="89"/>
      <c r="L28" s="89"/>
      <c r="M28" s="89"/>
      <c r="N28" s="89"/>
      <c r="O28" s="89"/>
      <c r="P28" s="76">
        <f t="shared" si="3"/>
        <v>65000</v>
      </c>
    </row>
    <row r="29" spans="1:16" s="54" customFormat="1" ht="48" customHeight="1">
      <c r="A29" s="27" t="s">
        <v>110</v>
      </c>
      <c r="B29" s="107">
        <v>3033</v>
      </c>
      <c r="C29" s="111">
        <v>1070</v>
      </c>
      <c r="D29" s="108" t="s">
        <v>113</v>
      </c>
      <c r="E29" s="76">
        <f t="shared" si="2"/>
        <v>5000</v>
      </c>
      <c r="F29" s="89">
        <v>5000</v>
      </c>
      <c r="G29" s="89"/>
      <c r="H29" s="89"/>
      <c r="I29" s="89"/>
      <c r="J29" s="76"/>
      <c r="K29" s="89"/>
      <c r="L29" s="89"/>
      <c r="M29" s="89"/>
      <c r="N29" s="89"/>
      <c r="O29" s="89"/>
      <c r="P29" s="76">
        <f t="shared" si="3"/>
        <v>5000</v>
      </c>
    </row>
    <row r="30" spans="1:16" s="54" customFormat="1" ht="52.5" customHeight="1">
      <c r="A30" s="27" t="s">
        <v>114</v>
      </c>
      <c r="B30" s="107">
        <v>3035</v>
      </c>
      <c r="C30" s="111">
        <v>1070</v>
      </c>
      <c r="D30" s="108" t="s">
        <v>115</v>
      </c>
      <c r="E30" s="76">
        <f t="shared" si="2"/>
        <v>45000</v>
      </c>
      <c r="F30" s="89">
        <v>45000</v>
      </c>
      <c r="G30" s="89"/>
      <c r="H30" s="89"/>
      <c r="I30" s="89"/>
      <c r="J30" s="76"/>
      <c r="K30" s="89"/>
      <c r="L30" s="89"/>
      <c r="M30" s="89"/>
      <c r="N30" s="89"/>
      <c r="O30" s="89"/>
      <c r="P30" s="76">
        <f t="shared" si="3"/>
        <v>45000</v>
      </c>
    </row>
    <row r="31" spans="1:16" s="54" customFormat="1" ht="46.5" customHeight="1">
      <c r="A31" s="27" t="s">
        <v>104</v>
      </c>
      <c r="B31" s="107">
        <v>3050</v>
      </c>
      <c r="C31" s="28" t="s">
        <v>105</v>
      </c>
      <c r="D31" s="108" t="s">
        <v>106</v>
      </c>
      <c r="E31" s="76">
        <f t="shared" si="2"/>
        <v>98800</v>
      </c>
      <c r="F31" s="89">
        <v>98800</v>
      </c>
      <c r="G31" s="89"/>
      <c r="H31" s="89"/>
      <c r="I31" s="89"/>
      <c r="J31" s="76"/>
      <c r="K31" s="89"/>
      <c r="L31" s="89"/>
      <c r="M31" s="89"/>
      <c r="N31" s="89"/>
      <c r="O31" s="89"/>
      <c r="P31" s="76">
        <f t="shared" si="3"/>
        <v>98800</v>
      </c>
    </row>
    <row r="32" spans="1:16" s="54" customFormat="1" ht="46.5" customHeight="1">
      <c r="A32" s="27" t="s">
        <v>107</v>
      </c>
      <c r="B32" s="107">
        <v>3090</v>
      </c>
      <c r="C32" s="109">
        <v>1030</v>
      </c>
      <c r="D32" s="108" t="s">
        <v>108</v>
      </c>
      <c r="E32" s="76">
        <f t="shared" si="2"/>
        <v>14136</v>
      </c>
      <c r="F32" s="89">
        <f>14100+36</f>
        <v>14136</v>
      </c>
      <c r="G32" s="89"/>
      <c r="H32" s="89"/>
      <c r="I32" s="89"/>
      <c r="J32" s="76"/>
      <c r="K32" s="89"/>
      <c r="L32" s="89"/>
      <c r="M32" s="89"/>
      <c r="N32" s="89"/>
      <c r="O32" s="89"/>
      <c r="P32" s="76">
        <f t="shared" si="3"/>
        <v>14136</v>
      </c>
    </row>
    <row r="33" spans="1:16" s="54" customFormat="1" ht="67.5" customHeight="1">
      <c r="A33" s="27" t="s">
        <v>118</v>
      </c>
      <c r="B33" s="107">
        <v>3104</v>
      </c>
      <c r="C33" s="109">
        <v>1020</v>
      </c>
      <c r="D33" s="108" t="s">
        <v>119</v>
      </c>
      <c r="E33" s="76">
        <f t="shared" si="2"/>
        <v>6368791</v>
      </c>
      <c r="F33" s="89">
        <f>6017230-141100-100000+218197+359464+15000</f>
        <v>6368791</v>
      </c>
      <c r="G33" s="89">
        <f>4061200-159554+142317+273800</f>
        <v>4317763</v>
      </c>
      <c r="H33" s="89">
        <f>341530+27000</f>
        <v>368530</v>
      </c>
      <c r="I33" s="89"/>
      <c r="J33" s="76">
        <f>L33+O33</f>
        <v>387100</v>
      </c>
      <c r="K33" s="89"/>
      <c r="L33" s="89">
        <f>87100+300000</f>
        <v>387100</v>
      </c>
      <c r="M33" s="89">
        <v>55000</v>
      </c>
      <c r="N33" s="89"/>
      <c r="O33" s="89"/>
      <c r="P33" s="76">
        <f t="shared" si="3"/>
        <v>6755891</v>
      </c>
    </row>
    <row r="34" spans="1:16" s="54" customFormat="1" ht="79.5" customHeight="1">
      <c r="A34" s="107" t="s">
        <v>176</v>
      </c>
      <c r="B34" s="107" t="s">
        <v>177</v>
      </c>
      <c r="C34" s="119" t="s">
        <v>178</v>
      </c>
      <c r="D34" s="120" t="s">
        <v>179</v>
      </c>
      <c r="E34" s="76">
        <f t="shared" si="2"/>
        <v>8498</v>
      </c>
      <c r="F34" s="89">
        <v>8498</v>
      </c>
      <c r="G34" s="89"/>
      <c r="H34" s="89"/>
      <c r="I34" s="89"/>
      <c r="J34" s="76"/>
      <c r="K34" s="89"/>
      <c r="L34" s="89"/>
      <c r="M34" s="89"/>
      <c r="N34" s="89"/>
      <c r="O34" s="89"/>
      <c r="P34" s="76">
        <f t="shared" si="3"/>
        <v>8498</v>
      </c>
    </row>
    <row r="35" spans="1:16" s="54" customFormat="1" ht="102" customHeight="1">
      <c r="A35" s="27" t="s">
        <v>116</v>
      </c>
      <c r="B35" s="107">
        <v>3160</v>
      </c>
      <c r="C35" s="109">
        <v>1010</v>
      </c>
      <c r="D35" s="108" t="s">
        <v>117</v>
      </c>
      <c r="E35" s="76">
        <f t="shared" si="2"/>
        <v>76112</v>
      </c>
      <c r="F35" s="89">
        <f>220000-74010-69878</f>
        <v>76112</v>
      </c>
      <c r="G35" s="89"/>
      <c r="H35" s="89"/>
      <c r="I35" s="89"/>
      <c r="J35" s="76"/>
      <c r="K35" s="89"/>
      <c r="L35" s="89"/>
      <c r="M35" s="89"/>
      <c r="N35" s="89"/>
      <c r="O35" s="89"/>
      <c r="P35" s="76">
        <f t="shared" si="3"/>
        <v>76112</v>
      </c>
    </row>
    <row r="36" spans="1:16" s="54" customFormat="1" ht="63" customHeight="1">
      <c r="A36" s="110" t="s">
        <v>109</v>
      </c>
      <c r="B36" s="107">
        <v>3171</v>
      </c>
      <c r="C36" s="109">
        <v>1010</v>
      </c>
      <c r="D36" s="108" t="s">
        <v>130</v>
      </c>
      <c r="E36" s="76">
        <f t="shared" si="2"/>
        <v>13300</v>
      </c>
      <c r="F36" s="89">
        <v>13300</v>
      </c>
      <c r="G36" s="89"/>
      <c r="H36" s="89"/>
      <c r="I36" s="89"/>
      <c r="J36" s="76"/>
      <c r="K36" s="89"/>
      <c r="L36" s="89"/>
      <c r="M36" s="89"/>
      <c r="N36" s="89"/>
      <c r="O36" s="89"/>
      <c r="P36" s="76">
        <f t="shared" si="3"/>
        <v>13300</v>
      </c>
    </row>
    <row r="37" spans="1:16" s="54" customFormat="1" ht="87.75" customHeight="1">
      <c r="A37" s="27" t="s">
        <v>49</v>
      </c>
      <c r="B37" s="27">
        <v>3180</v>
      </c>
      <c r="C37" s="28" t="s">
        <v>39</v>
      </c>
      <c r="D37" s="31" t="s">
        <v>48</v>
      </c>
      <c r="E37" s="76">
        <f>F37+I37</f>
        <v>35000</v>
      </c>
      <c r="F37" s="89">
        <f>45000-10000</f>
        <v>35000</v>
      </c>
      <c r="G37" s="89"/>
      <c r="H37" s="89"/>
      <c r="I37" s="89"/>
      <c r="J37" s="76"/>
      <c r="K37" s="88"/>
      <c r="L37" s="89"/>
      <c r="M37" s="89"/>
      <c r="N37" s="89"/>
      <c r="O37" s="89"/>
      <c r="P37" s="76">
        <f>E37+J37</f>
        <v>35000</v>
      </c>
    </row>
    <row r="38" spans="1:16" s="54" customFormat="1" ht="17.25" customHeight="1">
      <c r="A38" s="27"/>
      <c r="B38" s="29"/>
      <c r="C38" s="30"/>
      <c r="D38" s="40"/>
      <c r="E38" s="76"/>
      <c r="F38" s="89"/>
      <c r="G38" s="89"/>
      <c r="H38" s="89"/>
      <c r="I38" s="89"/>
      <c r="J38" s="76"/>
      <c r="K38" s="88"/>
      <c r="L38" s="89"/>
      <c r="M38" s="89"/>
      <c r="N38" s="89"/>
      <c r="O38" s="89"/>
      <c r="P38" s="76"/>
    </row>
    <row r="39" spans="1:16" s="54" customFormat="1" ht="25.5">
      <c r="A39" s="24" t="s">
        <v>79</v>
      </c>
      <c r="B39" s="24" t="s">
        <v>80</v>
      </c>
      <c r="C39" s="17" t="s">
        <v>16</v>
      </c>
      <c r="D39" s="25" t="s">
        <v>36</v>
      </c>
      <c r="E39" s="76">
        <f>I39+F39</f>
        <v>444200</v>
      </c>
      <c r="F39" s="89">
        <f>211000+120000+23200+30000+60000</f>
        <v>444200</v>
      </c>
      <c r="G39" s="89"/>
      <c r="H39" s="89"/>
      <c r="I39" s="89"/>
      <c r="J39" s="76"/>
      <c r="K39" s="88"/>
      <c r="L39" s="89"/>
      <c r="M39" s="89"/>
      <c r="N39" s="89"/>
      <c r="O39" s="89"/>
      <c r="P39" s="76">
        <f aca="true" t="shared" si="4" ref="P39:P68">E39+J39</f>
        <v>444200</v>
      </c>
    </row>
    <row r="40" spans="1:16" s="54" customFormat="1" ht="12.75" customHeight="1">
      <c r="A40" s="35"/>
      <c r="B40" s="35"/>
      <c r="C40" s="36"/>
      <c r="D40" s="39"/>
      <c r="E40" s="76"/>
      <c r="F40" s="89"/>
      <c r="G40" s="89"/>
      <c r="H40" s="89"/>
      <c r="I40" s="89"/>
      <c r="J40" s="76"/>
      <c r="K40" s="88"/>
      <c r="L40" s="89"/>
      <c r="M40" s="89"/>
      <c r="N40" s="89"/>
      <c r="O40" s="89"/>
      <c r="P40" s="76"/>
    </row>
    <row r="41" spans="1:16" s="54" customFormat="1" ht="33.75" customHeight="1">
      <c r="A41" s="35" t="s">
        <v>74</v>
      </c>
      <c r="B41" s="35">
        <v>3242</v>
      </c>
      <c r="C41" s="36" t="s">
        <v>17</v>
      </c>
      <c r="D41" s="38" t="s">
        <v>73</v>
      </c>
      <c r="E41" s="76">
        <f>F41+I41</f>
        <v>332300</v>
      </c>
      <c r="F41" s="89">
        <f>312000+20300</f>
        <v>332300</v>
      </c>
      <c r="G41" s="89">
        <v>0</v>
      </c>
      <c r="H41" s="89">
        <v>0</v>
      </c>
      <c r="I41" s="89">
        <v>0</v>
      </c>
      <c r="J41" s="76">
        <v>0</v>
      </c>
      <c r="K41" s="88"/>
      <c r="L41" s="89">
        <v>0</v>
      </c>
      <c r="M41" s="89">
        <v>0</v>
      </c>
      <c r="N41" s="89">
        <v>0</v>
      </c>
      <c r="O41" s="89">
        <v>0</v>
      </c>
      <c r="P41" s="76">
        <f t="shared" si="4"/>
        <v>332300</v>
      </c>
    </row>
    <row r="42" spans="1:16" s="54" customFormat="1" ht="12.75" customHeight="1">
      <c r="A42" s="35"/>
      <c r="B42" s="35"/>
      <c r="C42" s="36"/>
      <c r="D42" s="38"/>
      <c r="E42" s="76"/>
      <c r="F42" s="89"/>
      <c r="G42" s="89"/>
      <c r="H42" s="89"/>
      <c r="I42" s="89"/>
      <c r="J42" s="76"/>
      <c r="K42" s="88"/>
      <c r="L42" s="89"/>
      <c r="M42" s="89"/>
      <c r="N42" s="89"/>
      <c r="O42" s="89"/>
      <c r="P42" s="76"/>
    </row>
    <row r="43" spans="1:16" s="54" customFormat="1" ht="2.25" customHeight="1">
      <c r="A43" s="35"/>
      <c r="B43" s="35"/>
      <c r="C43" s="36"/>
      <c r="D43" s="39"/>
      <c r="E43" s="76"/>
      <c r="F43" s="89"/>
      <c r="G43" s="89"/>
      <c r="H43" s="89"/>
      <c r="I43" s="89"/>
      <c r="J43" s="76"/>
      <c r="K43" s="88"/>
      <c r="L43" s="89"/>
      <c r="M43" s="89"/>
      <c r="N43" s="89"/>
      <c r="O43" s="89"/>
      <c r="P43" s="76"/>
    </row>
    <row r="44" spans="1:16" s="54" customFormat="1" ht="22.5" customHeight="1">
      <c r="A44" s="35" t="s">
        <v>75</v>
      </c>
      <c r="B44" s="35">
        <v>4082</v>
      </c>
      <c r="C44" s="67" t="s">
        <v>19</v>
      </c>
      <c r="D44" s="38" t="s">
        <v>76</v>
      </c>
      <c r="E44" s="76">
        <f>F44</f>
        <v>30000</v>
      </c>
      <c r="F44" s="89">
        <v>30000</v>
      </c>
      <c r="G44" s="89"/>
      <c r="H44" s="89"/>
      <c r="I44" s="89"/>
      <c r="J44" s="76"/>
      <c r="K44" s="88"/>
      <c r="L44" s="89"/>
      <c r="M44" s="89"/>
      <c r="N44" s="89"/>
      <c r="O44" s="89"/>
      <c r="P44" s="76">
        <f>E44+J44</f>
        <v>30000</v>
      </c>
    </row>
    <row r="45" spans="1:16" s="54" customFormat="1" ht="36.75" customHeight="1">
      <c r="A45" s="35" t="s">
        <v>85</v>
      </c>
      <c r="B45" s="35">
        <v>6013</v>
      </c>
      <c r="C45" s="36" t="s">
        <v>21</v>
      </c>
      <c r="D45" s="38" t="s">
        <v>86</v>
      </c>
      <c r="E45" s="76">
        <f>F45</f>
        <v>464000</v>
      </c>
      <c r="F45" s="89">
        <f>134000+315000+15000</f>
        <v>464000</v>
      </c>
      <c r="G45" s="89"/>
      <c r="H45" s="89"/>
      <c r="I45" s="89"/>
      <c r="J45" s="76">
        <f>L45+O45</f>
        <v>0</v>
      </c>
      <c r="K45" s="88"/>
      <c r="L45" s="88"/>
      <c r="M45" s="88"/>
      <c r="N45" s="88"/>
      <c r="O45" s="88"/>
      <c r="P45" s="76">
        <f>E45+J45</f>
        <v>464000</v>
      </c>
    </row>
    <row r="46" spans="1:16" s="54" customFormat="1" ht="32.25" customHeight="1">
      <c r="A46" s="35" t="s">
        <v>50</v>
      </c>
      <c r="B46" s="35" t="s">
        <v>51</v>
      </c>
      <c r="C46" s="36" t="s">
        <v>21</v>
      </c>
      <c r="D46" s="38" t="s">
        <v>52</v>
      </c>
      <c r="E46" s="76">
        <f>F46+I46</f>
        <v>9299749</v>
      </c>
      <c r="F46" s="89">
        <f>6969345+693600+1000000-50000-50000-20000+375837+2040-129800-48358+227323+157482+22000+150280</f>
        <v>9299749</v>
      </c>
      <c r="G46" s="89"/>
      <c r="H46" s="89">
        <f>1012730+90500+266150</f>
        <v>1369380</v>
      </c>
      <c r="I46" s="89">
        <v>0</v>
      </c>
      <c r="J46" s="76">
        <f>L46+O46</f>
        <v>537525</v>
      </c>
      <c r="K46" s="88">
        <f>210875+630423-227323-12400-80000+15950</f>
        <v>537525</v>
      </c>
      <c r="L46" s="89"/>
      <c r="M46" s="89"/>
      <c r="N46" s="89"/>
      <c r="O46" s="89">
        <f>210875+630423-227323-12400-80000+15950</f>
        <v>537525</v>
      </c>
      <c r="P46" s="76">
        <f t="shared" si="4"/>
        <v>9837274</v>
      </c>
    </row>
    <row r="47" spans="1:16" s="54" customFormat="1" ht="32.25" customHeight="1">
      <c r="A47" s="132" t="s">
        <v>217</v>
      </c>
      <c r="B47" s="132">
        <v>6082</v>
      </c>
      <c r="C47" s="139" t="s">
        <v>218</v>
      </c>
      <c r="D47" s="140" t="s">
        <v>219</v>
      </c>
      <c r="E47" s="76"/>
      <c r="F47" s="89"/>
      <c r="G47" s="89"/>
      <c r="H47" s="89"/>
      <c r="I47" s="89"/>
      <c r="J47" s="76">
        <f>L47+O47</f>
        <v>550000</v>
      </c>
      <c r="K47" s="88">
        <f>K49+K50</f>
        <v>550000</v>
      </c>
      <c r="L47" s="89"/>
      <c r="M47" s="89"/>
      <c r="N47" s="89"/>
      <c r="O47" s="89">
        <f>O49+O50</f>
        <v>550000</v>
      </c>
      <c r="P47" s="76">
        <f t="shared" si="4"/>
        <v>550000</v>
      </c>
    </row>
    <row r="48" spans="1:16" s="54" customFormat="1" ht="32.25" customHeight="1">
      <c r="A48" s="132"/>
      <c r="B48" s="132"/>
      <c r="C48" s="139"/>
      <c r="D48" s="142" t="s">
        <v>41</v>
      </c>
      <c r="E48" s="76"/>
      <c r="F48" s="89"/>
      <c r="G48" s="89"/>
      <c r="H48" s="89"/>
      <c r="I48" s="89"/>
      <c r="J48" s="76"/>
      <c r="K48" s="88"/>
      <c r="L48" s="89"/>
      <c r="M48" s="89"/>
      <c r="N48" s="89"/>
      <c r="O48" s="89"/>
      <c r="P48" s="76"/>
    </row>
    <row r="49" spans="1:16" s="54" customFormat="1" ht="88.5" customHeight="1">
      <c r="A49" s="132"/>
      <c r="B49" s="132"/>
      <c r="C49" s="139"/>
      <c r="D49" s="142" t="s">
        <v>235</v>
      </c>
      <c r="E49" s="76"/>
      <c r="F49" s="89"/>
      <c r="G49" s="89"/>
      <c r="H49" s="89"/>
      <c r="I49" s="89"/>
      <c r="J49" s="76">
        <f>L49+O49</f>
        <v>385000</v>
      </c>
      <c r="K49" s="88">
        <v>385000</v>
      </c>
      <c r="L49" s="89"/>
      <c r="M49" s="89"/>
      <c r="N49" s="89"/>
      <c r="O49" s="89">
        <v>385000</v>
      </c>
      <c r="P49" s="76"/>
    </row>
    <row r="50" spans="1:16" s="54" customFormat="1" ht="127.5" customHeight="1">
      <c r="A50" s="132"/>
      <c r="B50" s="132"/>
      <c r="C50" s="139"/>
      <c r="D50" s="142" t="s">
        <v>234</v>
      </c>
      <c r="E50" s="76"/>
      <c r="F50" s="89"/>
      <c r="G50" s="89"/>
      <c r="H50" s="89"/>
      <c r="I50" s="89"/>
      <c r="J50" s="76">
        <f>L50+O50</f>
        <v>165000</v>
      </c>
      <c r="K50" s="88">
        <v>165000</v>
      </c>
      <c r="L50" s="89"/>
      <c r="M50" s="89"/>
      <c r="N50" s="89"/>
      <c r="O50" s="89">
        <v>165000</v>
      </c>
      <c r="P50" s="76">
        <f>E50+J50</f>
        <v>165000</v>
      </c>
    </row>
    <row r="51" spans="1:16" s="54" customFormat="1" ht="34.5" customHeight="1">
      <c r="A51" s="35" t="s">
        <v>56</v>
      </c>
      <c r="B51" s="35" t="s">
        <v>57</v>
      </c>
      <c r="C51" s="36" t="s">
        <v>58</v>
      </c>
      <c r="D51" s="38" t="s">
        <v>59</v>
      </c>
      <c r="E51" s="76">
        <f>F51+I51</f>
        <v>21450</v>
      </c>
      <c r="F51" s="89">
        <f>10000+1450+10000</f>
        <v>21450</v>
      </c>
      <c r="G51" s="98"/>
      <c r="H51" s="98"/>
      <c r="I51" s="98"/>
      <c r="J51" s="76">
        <f>L51+O51</f>
        <v>0</v>
      </c>
      <c r="K51" s="134"/>
      <c r="L51" s="98"/>
      <c r="M51" s="98"/>
      <c r="N51" s="98"/>
      <c r="O51" s="98"/>
      <c r="P51" s="76">
        <f t="shared" si="4"/>
        <v>21450</v>
      </c>
    </row>
    <row r="52" spans="1:16" s="54" customFormat="1" ht="30.75" customHeight="1">
      <c r="A52" s="35" t="s">
        <v>93</v>
      </c>
      <c r="B52" s="35">
        <v>7130</v>
      </c>
      <c r="C52" s="15" t="s">
        <v>94</v>
      </c>
      <c r="D52" s="38" t="s">
        <v>95</v>
      </c>
      <c r="E52" s="76">
        <f>F52+I52</f>
        <v>262000</v>
      </c>
      <c r="F52" s="89">
        <f>150000+120000+8000-15000-1000</f>
        <v>262000</v>
      </c>
      <c r="G52" s="98"/>
      <c r="H52" s="98"/>
      <c r="I52" s="98"/>
      <c r="J52" s="76"/>
      <c r="K52" s="88"/>
      <c r="L52" s="89"/>
      <c r="M52" s="89"/>
      <c r="N52" s="89"/>
      <c r="O52" s="89"/>
      <c r="P52" s="76">
        <f t="shared" si="4"/>
        <v>262000</v>
      </c>
    </row>
    <row r="53" spans="1:16" s="54" customFormat="1" ht="30.75" customHeight="1">
      <c r="A53" s="121" t="s">
        <v>180</v>
      </c>
      <c r="B53" s="121" t="s">
        <v>181</v>
      </c>
      <c r="C53" s="122" t="s">
        <v>143</v>
      </c>
      <c r="D53" s="123" t="s">
        <v>182</v>
      </c>
      <c r="E53" s="76"/>
      <c r="F53" s="89"/>
      <c r="G53" s="98"/>
      <c r="H53" s="98"/>
      <c r="I53" s="98"/>
      <c r="J53" s="76">
        <f aca="true" t="shared" si="5" ref="J53:J58">L53+O53</f>
        <v>57290</v>
      </c>
      <c r="K53" s="88">
        <f>10302+52870-5882</f>
        <v>57290</v>
      </c>
      <c r="L53" s="89"/>
      <c r="M53" s="89"/>
      <c r="N53" s="89"/>
      <c r="O53" s="89">
        <f>10302+52870-5882</f>
        <v>57290</v>
      </c>
      <c r="P53" s="76">
        <f t="shared" si="4"/>
        <v>57290</v>
      </c>
    </row>
    <row r="54" spans="1:16" s="54" customFormat="1" ht="30.75" customHeight="1">
      <c r="A54" s="35" t="s">
        <v>142</v>
      </c>
      <c r="B54" s="35">
        <v>7330</v>
      </c>
      <c r="C54" s="63" t="s">
        <v>143</v>
      </c>
      <c r="D54" s="38" t="s">
        <v>144</v>
      </c>
      <c r="E54" s="76"/>
      <c r="F54" s="89"/>
      <c r="G54" s="98"/>
      <c r="H54" s="98"/>
      <c r="I54" s="98"/>
      <c r="J54" s="99">
        <f t="shared" si="5"/>
        <v>423344</v>
      </c>
      <c r="K54" s="88">
        <f>150000+18544+129800+49000+127000-17000-34000</f>
        <v>423344</v>
      </c>
      <c r="L54" s="89"/>
      <c r="M54" s="89"/>
      <c r="N54" s="89"/>
      <c r="O54" s="89">
        <f>150000+18544+129800+49000+127000-17000-34000</f>
        <v>423344</v>
      </c>
      <c r="P54" s="76">
        <f t="shared" si="4"/>
        <v>423344</v>
      </c>
    </row>
    <row r="55" spans="1:16" s="54" customFormat="1" ht="60" customHeight="1">
      <c r="A55" s="29" t="s">
        <v>136</v>
      </c>
      <c r="B55" s="29">
        <v>7361</v>
      </c>
      <c r="C55" s="63" t="s">
        <v>137</v>
      </c>
      <c r="D55" s="40" t="s">
        <v>138</v>
      </c>
      <c r="E55" s="76"/>
      <c r="F55" s="89"/>
      <c r="G55" s="98"/>
      <c r="H55" s="98"/>
      <c r="I55" s="98"/>
      <c r="J55" s="76">
        <f t="shared" si="5"/>
        <v>0</v>
      </c>
      <c r="K55" s="88">
        <f>1624025-700000-206375+17000-632902-101748</f>
        <v>0</v>
      </c>
      <c r="L55" s="89"/>
      <c r="M55" s="89"/>
      <c r="N55" s="89"/>
      <c r="O55" s="89">
        <f>1624025-700000-206375+17000-632902-101748</f>
        <v>0</v>
      </c>
      <c r="P55" s="76">
        <f t="shared" si="4"/>
        <v>0</v>
      </c>
    </row>
    <row r="56" spans="1:16" s="54" customFormat="1" ht="60" customHeight="1">
      <c r="A56" s="132" t="s">
        <v>220</v>
      </c>
      <c r="B56" s="132">
        <v>7363</v>
      </c>
      <c r="C56" s="63" t="s">
        <v>137</v>
      </c>
      <c r="D56" s="140" t="s">
        <v>221</v>
      </c>
      <c r="E56" s="76"/>
      <c r="F56" s="89"/>
      <c r="G56" s="98"/>
      <c r="H56" s="98"/>
      <c r="I56" s="98"/>
      <c r="J56" s="76">
        <f t="shared" si="5"/>
        <v>650000</v>
      </c>
      <c r="K56" s="88">
        <v>650000</v>
      </c>
      <c r="L56" s="89"/>
      <c r="M56" s="89"/>
      <c r="N56" s="89"/>
      <c r="O56" s="89">
        <v>650000</v>
      </c>
      <c r="P56" s="76">
        <f t="shared" si="4"/>
        <v>650000</v>
      </c>
    </row>
    <row r="57" spans="1:16" s="54" customFormat="1" ht="36.75" customHeight="1">
      <c r="A57" s="124" t="s">
        <v>199</v>
      </c>
      <c r="B57" s="135">
        <v>7370</v>
      </c>
      <c r="C57" s="125" t="s">
        <v>137</v>
      </c>
      <c r="D57" s="126" t="s">
        <v>200</v>
      </c>
      <c r="E57" s="76"/>
      <c r="F57" s="89"/>
      <c r="G57" s="98"/>
      <c r="H57" s="98"/>
      <c r="I57" s="98"/>
      <c r="J57" s="76">
        <f t="shared" si="5"/>
        <v>1500000</v>
      </c>
      <c r="K57" s="88">
        <v>1500000</v>
      </c>
      <c r="L57" s="89"/>
      <c r="M57" s="89"/>
      <c r="N57" s="89"/>
      <c r="O57" s="89">
        <v>1500000</v>
      </c>
      <c r="P57" s="76">
        <f t="shared" si="4"/>
        <v>1500000</v>
      </c>
    </row>
    <row r="58" spans="1:16" s="54" customFormat="1" ht="52.5" customHeight="1">
      <c r="A58" s="132" t="s">
        <v>222</v>
      </c>
      <c r="B58" s="132">
        <v>7540</v>
      </c>
      <c r="C58" s="63" t="s">
        <v>223</v>
      </c>
      <c r="D58" s="108" t="s">
        <v>224</v>
      </c>
      <c r="E58" s="76">
        <f>F58+I58</f>
        <v>1308648</v>
      </c>
      <c r="F58" s="89">
        <f>1424192-115544</f>
        <v>1308648</v>
      </c>
      <c r="G58" s="98"/>
      <c r="H58" s="98"/>
      <c r="I58" s="98"/>
      <c r="J58" s="76">
        <f t="shared" si="5"/>
        <v>0</v>
      </c>
      <c r="K58" s="88"/>
      <c r="L58" s="89"/>
      <c r="M58" s="89"/>
      <c r="N58" s="89"/>
      <c r="O58" s="89"/>
      <c r="P58" s="76">
        <f t="shared" si="4"/>
        <v>1308648</v>
      </c>
    </row>
    <row r="59" spans="1:16" s="54" customFormat="1" ht="21.75" customHeight="1">
      <c r="A59" s="132"/>
      <c r="B59" s="132"/>
      <c r="C59" s="63"/>
      <c r="D59" s="140" t="s">
        <v>41</v>
      </c>
      <c r="E59" s="76"/>
      <c r="F59" s="89"/>
      <c r="G59" s="98"/>
      <c r="H59" s="98"/>
      <c r="I59" s="98"/>
      <c r="J59" s="76"/>
      <c r="K59" s="88"/>
      <c r="L59" s="89"/>
      <c r="M59" s="89"/>
      <c r="N59" s="89"/>
      <c r="O59" s="89"/>
      <c r="P59" s="76"/>
    </row>
    <row r="60" spans="1:16" s="54" customFormat="1" ht="76.5" customHeight="1">
      <c r="A60" s="132"/>
      <c r="B60" s="132"/>
      <c r="C60" s="63"/>
      <c r="D60" s="140" t="s">
        <v>225</v>
      </c>
      <c r="E60" s="76">
        <f>F60+I60</f>
        <v>1305648</v>
      </c>
      <c r="F60" s="89">
        <v>1305648</v>
      </c>
      <c r="G60" s="98"/>
      <c r="H60" s="98"/>
      <c r="I60" s="98"/>
      <c r="J60" s="76">
        <f>L60+O60</f>
        <v>0</v>
      </c>
      <c r="K60" s="88"/>
      <c r="L60" s="89"/>
      <c r="M60" s="89"/>
      <c r="N60" s="89"/>
      <c r="O60" s="89"/>
      <c r="P60" s="76">
        <f t="shared" si="4"/>
        <v>1305648</v>
      </c>
    </row>
    <row r="61" spans="1:16" s="54" customFormat="1" ht="39.75" customHeight="1">
      <c r="A61" s="110" t="s">
        <v>196</v>
      </c>
      <c r="B61" s="110" t="s">
        <v>197</v>
      </c>
      <c r="C61" s="110" t="s">
        <v>137</v>
      </c>
      <c r="D61" s="31" t="s">
        <v>198</v>
      </c>
      <c r="E61" s="76"/>
      <c r="F61" s="89"/>
      <c r="G61" s="98"/>
      <c r="H61" s="98"/>
      <c r="I61" s="98"/>
      <c r="J61" s="76">
        <f>L61+O61</f>
        <v>57415.68</v>
      </c>
      <c r="K61" s="88">
        <f>7000+14000+36415.68</f>
        <v>57415.68</v>
      </c>
      <c r="L61" s="89"/>
      <c r="M61" s="89"/>
      <c r="N61" s="89"/>
      <c r="O61" s="89">
        <f>7000+14000+36415.68</f>
        <v>57415.68</v>
      </c>
      <c r="P61" s="76">
        <f t="shared" si="4"/>
        <v>57415.68</v>
      </c>
    </row>
    <row r="62" spans="1:16" s="54" customFormat="1" ht="39.75" customHeight="1">
      <c r="A62" s="27" t="s">
        <v>236</v>
      </c>
      <c r="B62" s="27">
        <v>8220</v>
      </c>
      <c r="C62" s="63" t="s">
        <v>54</v>
      </c>
      <c r="D62" s="31" t="s">
        <v>237</v>
      </c>
      <c r="E62" s="76">
        <f>F62+I62</f>
        <v>3000</v>
      </c>
      <c r="F62" s="89">
        <v>3000</v>
      </c>
      <c r="G62" s="98"/>
      <c r="H62" s="98"/>
      <c r="I62" s="98"/>
      <c r="J62" s="76"/>
      <c r="K62" s="88"/>
      <c r="L62" s="89"/>
      <c r="M62" s="89"/>
      <c r="N62" s="89"/>
      <c r="O62" s="89"/>
      <c r="P62" s="76">
        <f t="shared" si="4"/>
        <v>3000</v>
      </c>
    </row>
    <row r="63" spans="1:16" s="54" customFormat="1" ht="25.5">
      <c r="A63" s="35" t="s">
        <v>53</v>
      </c>
      <c r="B63" s="58">
        <v>8230</v>
      </c>
      <c r="C63" s="65" t="s">
        <v>54</v>
      </c>
      <c r="D63" s="84" t="s">
        <v>55</v>
      </c>
      <c r="E63" s="76">
        <f>F63+I63</f>
        <v>1091913</v>
      </c>
      <c r="F63" s="89">
        <v>1091913</v>
      </c>
      <c r="G63" s="89">
        <v>823446</v>
      </c>
      <c r="H63" s="89"/>
      <c r="I63" s="89"/>
      <c r="J63" s="76"/>
      <c r="K63" s="88"/>
      <c r="L63" s="89"/>
      <c r="M63" s="89"/>
      <c r="N63" s="89"/>
      <c r="O63" s="89"/>
      <c r="P63" s="76">
        <f t="shared" si="4"/>
        <v>1091913</v>
      </c>
    </row>
    <row r="64" spans="1:16" s="54" customFormat="1" ht="39.75" customHeight="1">
      <c r="A64" s="35" t="s">
        <v>60</v>
      </c>
      <c r="B64" s="58">
        <v>8340</v>
      </c>
      <c r="C64" s="65" t="s">
        <v>24</v>
      </c>
      <c r="D64" s="64" t="s">
        <v>61</v>
      </c>
      <c r="E64" s="76"/>
      <c r="F64" s="89"/>
      <c r="G64" s="89"/>
      <c r="H64" s="89"/>
      <c r="I64" s="89"/>
      <c r="J64" s="99">
        <f>L64+O64</f>
        <v>102000</v>
      </c>
      <c r="K64" s="100"/>
      <c r="L64" s="89">
        <v>102000</v>
      </c>
      <c r="M64" s="89"/>
      <c r="N64" s="89"/>
      <c r="O64" s="89"/>
      <c r="P64" s="76">
        <f t="shared" si="4"/>
        <v>102000</v>
      </c>
    </row>
    <row r="65" spans="1:16" s="54" customFormat="1" ht="24.75" customHeight="1">
      <c r="A65" s="35" t="s">
        <v>206</v>
      </c>
      <c r="B65" s="35">
        <v>9770</v>
      </c>
      <c r="C65" s="36" t="s">
        <v>23</v>
      </c>
      <c r="D65" s="38" t="s">
        <v>207</v>
      </c>
      <c r="E65" s="76">
        <f>F65+I65</f>
        <v>786172</v>
      </c>
      <c r="F65" s="89">
        <f>F67</f>
        <v>0</v>
      </c>
      <c r="G65" s="89">
        <f>G67</f>
        <v>0</v>
      </c>
      <c r="H65" s="89">
        <f>H67</f>
        <v>0</v>
      </c>
      <c r="I65" s="89">
        <f>I67+I68</f>
        <v>786172</v>
      </c>
      <c r="J65" s="99"/>
      <c r="K65" s="100"/>
      <c r="L65" s="89"/>
      <c r="M65" s="89"/>
      <c r="N65" s="89"/>
      <c r="O65" s="89"/>
      <c r="P65" s="76">
        <f t="shared" si="4"/>
        <v>786172</v>
      </c>
    </row>
    <row r="66" spans="1:16" s="54" customFormat="1" ht="18.75" customHeight="1">
      <c r="A66" s="35"/>
      <c r="B66" s="35"/>
      <c r="C66" s="36"/>
      <c r="D66" s="38" t="s">
        <v>41</v>
      </c>
      <c r="E66" s="76"/>
      <c r="F66" s="89"/>
      <c r="G66" s="89"/>
      <c r="H66" s="89"/>
      <c r="I66" s="89"/>
      <c r="J66" s="99"/>
      <c r="K66" s="100"/>
      <c r="L66" s="89"/>
      <c r="M66" s="89"/>
      <c r="N66" s="89"/>
      <c r="O66" s="89"/>
      <c r="P66" s="76"/>
    </row>
    <row r="67" spans="1:16" s="54" customFormat="1" ht="123.75" customHeight="1">
      <c r="A67" s="35"/>
      <c r="B67" s="35"/>
      <c r="C67" s="36"/>
      <c r="D67" s="38" t="s">
        <v>208</v>
      </c>
      <c r="E67" s="76">
        <f>F67+I67</f>
        <v>700000</v>
      </c>
      <c r="F67" s="89"/>
      <c r="G67" s="89"/>
      <c r="H67" s="89"/>
      <c r="I67" s="89">
        <v>700000</v>
      </c>
      <c r="J67" s="99"/>
      <c r="K67" s="100"/>
      <c r="L67" s="89"/>
      <c r="M67" s="89"/>
      <c r="N67" s="89"/>
      <c r="O67" s="89"/>
      <c r="P67" s="76">
        <f t="shared" si="4"/>
        <v>700000</v>
      </c>
    </row>
    <row r="68" spans="1:16" s="54" customFormat="1" ht="126.75" customHeight="1">
      <c r="A68" s="35"/>
      <c r="B68" s="35"/>
      <c r="C68" s="36"/>
      <c r="D68" s="38" t="s">
        <v>233</v>
      </c>
      <c r="E68" s="76">
        <f>F68+I68</f>
        <v>86172</v>
      </c>
      <c r="F68" s="89"/>
      <c r="G68" s="89"/>
      <c r="H68" s="89"/>
      <c r="I68" s="89">
        <v>86172</v>
      </c>
      <c r="J68" s="99"/>
      <c r="K68" s="100"/>
      <c r="L68" s="89"/>
      <c r="M68" s="89"/>
      <c r="N68" s="89"/>
      <c r="O68" s="89"/>
      <c r="P68" s="76">
        <f t="shared" si="4"/>
        <v>86172</v>
      </c>
    </row>
    <row r="69" spans="1:16" s="54" customFormat="1" ht="12.75">
      <c r="A69" s="41"/>
      <c r="B69" s="42" t="s">
        <v>25</v>
      </c>
      <c r="C69" s="43"/>
      <c r="D69" s="37" t="s">
        <v>35</v>
      </c>
      <c r="E69" s="76">
        <f>F69+I69</f>
        <v>50007817.72</v>
      </c>
      <c r="F69" s="76">
        <f>F17+F27+F44+F45+F46+F51+F63+F64+F52+F22+F24+F21+F19+F18+F20+F23+F65+F61+F58+F56+F47+F62</f>
        <v>49221645.72</v>
      </c>
      <c r="G69" s="76">
        <f>G17+G27+G44+G45+G46+G51+G63+G64+G52+G22+G24+G21+G19+G18+G20+G23+G65+G61+G58+G56+G47+G62</f>
        <v>21740561</v>
      </c>
      <c r="H69" s="76">
        <f>H17+H27+H44+H45+H46+H51+H63+H64+H52+H22+H24+H21+H19+H18+H20+H23+H65+H61+H58+H56+H47+H62</f>
        <v>2566963</v>
      </c>
      <c r="I69" s="76">
        <f>I17+I27+I44+I45+I46+I51+I63+I64+I52+I22+I24+I21+I19+I18+I20+I23+I65+I61+I58+I56+I47+I62</f>
        <v>786172</v>
      </c>
      <c r="J69" s="76">
        <f>L69+O69</f>
        <v>4818016.68</v>
      </c>
      <c r="K69" s="76">
        <f>K17+K27+K44+K45+K46+K51+K63+K64+K52+K22+K24+K21+K19+K18+K55+K54+K53+K61+K20+K57+K23+K58+K56+K4+K47</f>
        <v>4323877.68</v>
      </c>
      <c r="L69" s="76">
        <f>L17+L27+L44+L45+L46+L51+L63+L64+L52+L22+L24+L21+L19+L18+L55+L54+L53+L61+L20+L57+L23+L58+L56+L4+L47</f>
        <v>494139</v>
      </c>
      <c r="M69" s="76">
        <f>M17+M27+M44+M45+M46+M51+M63+M64+M52+M22+M24+M21+M19+M18+M55+M54+M53+M61+M20+M57+M23+M58+M56+M4+M47</f>
        <v>55000</v>
      </c>
      <c r="N69" s="76">
        <f>N17+N27+N44+N45+N46+N51+N63+N64+N52+N22+N24+N21+N19+N18+N55+N54+N53+N61+N20+N57+N23+N58+N56+N4+N47</f>
        <v>0</v>
      </c>
      <c r="O69" s="76">
        <f>O17+O27+O44+O45+O46+O51+O63+O64+O52+O22+O24+O21+O19+O18+O55+O54+O53+O61+O20+O57+O23+O58+O56+O4+O47</f>
        <v>4323877.68</v>
      </c>
      <c r="P69" s="76">
        <f>E69+J69</f>
        <v>54825834.4</v>
      </c>
    </row>
    <row r="70" spans="1:16" ht="39.75" customHeight="1">
      <c r="A70" s="14" t="s">
        <v>62</v>
      </c>
      <c r="B70" s="14"/>
      <c r="C70" s="15"/>
      <c r="D70" s="16" t="s">
        <v>33</v>
      </c>
      <c r="E70" s="52"/>
      <c r="F70" s="52"/>
      <c r="G70" s="52"/>
      <c r="H70" s="52"/>
      <c r="I70" s="52"/>
      <c r="J70" s="52"/>
      <c r="K70" s="71"/>
      <c r="L70" s="52"/>
      <c r="M70" s="52"/>
      <c r="N70" s="52"/>
      <c r="O70" s="52"/>
      <c r="P70" s="53"/>
    </row>
    <row r="71" spans="1:16" ht="38.25">
      <c r="A71" s="14" t="s">
        <v>63</v>
      </c>
      <c r="B71" s="14"/>
      <c r="C71" s="15"/>
      <c r="D71" s="16" t="s">
        <v>33</v>
      </c>
      <c r="E71" s="52"/>
      <c r="F71" s="52"/>
      <c r="G71" s="52"/>
      <c r="H71" s="52"/>
      <c r="I71" s="52"/>
      <c r="J71" s="52"/>
      <c r="K71" s="71"/>
      <c r="L71" s="52"/>
      <c r="M71" s="52"/>
      <c r="N71" s="52"/>
      <c r="O71" s="52"/>
      <c r="P71" s="53"/>
    </row>
    <row r="72" spans="1:16" s="54" customFormat="1" ht="53.25" customHeight="1">
      <c r="A72" s="14" t="s">
        <v>64</v>
      </c>
      <c r="B72" s="24" t="s">
        <v>44</v>
      </c>
      <c r="C72" s="15" t="s">
        <v>12</v>
      </c>
      <c r="D72" s="50" t="s">
        <v>146</v>
      </c>
      <c r="E72" s="96">
        <f>F72+I72</f>
        <v>851761</v>
      </c>
      <c r="F72" s="96">
        <f>795275+26700+13786+16000</f>
        <v>851761</v>
      </c>
      <c r="G72" s="96">
        <f>641425+21900+11300+24000</f>
        <v>698625</v>
      </c>
      <c r="H72" s="96">
        <v>0</v>
      </c>
      <c r="I72" s="96"/>
      <c r="J72" s="96">
        <f>L72+O72</f>
        <v>0</v>
      </c>
      <c r="K72" s="101"/>
      <c r="L72" s="96"/>
      <c r="M72" s="96"/>
      <c r="N72" s="96"/>
      <c r="O72" s="96"/>
      <c r="P72" s="96">
        <f aca="true" t="shared" si="6" ref="P72:P97">J72+E72</f>
        <v>851761</v>
      </c>
    </row>
    <row r="73" spans="1:16" s="54" customFormat="1" ht="19.5" customHeight="1">
      <c r="A73" s="14" t="s">
        <v>65</v>
      </c>
      <c r="B73" s="24"/>
      <c r="C73" s="17"/>
      <c r="D73" s="18" t="s">
        <v>29</v>
      </c>
      <c r="E73" s="96">
        <f>F73+I73</f>
        <v>126367280.6</v>
      </c>
      <c r="F73" s="96">
        <f>F74+F84+F85+F86+F88+F76+F80+F89+F90+F94+F81+F92++F93</f>
        <v>126367280.6</v>
      </c>
      <c r="G73" s="96">
        <f>G74+G84+G85+G86+G88+G76+G80+G89+G90+G94+G81+G92++G93+G95</f>
        <v>91742994</v>
      </c>
      <c r="H73" s="96">
        <f>H74+H84+H85+H86+H88+H76+H80+H89+H90+H94+H81+H92++H93</f>
        <v>7266114</v>
      </c>
      <c r="I73" s="96">
        <f>I74+I84+I85+I86+I88+I76+I80+I89+I90+I94+I81+I92++I93</f>
        <v>0</v>
      </c>
      <c r="J73" s="96">
        <f>L73+O73</f>
        <v>5253412</v>
      </c>
      <c r="K73" s="96">
        <f>K74+K84+K85+K86+K88+K76+K80+K89+K90+K94+K81+K91</f>
        <v>2245829</v>
      </c>
      <c r="L73" s="96">
        <f>L74+L84+L85+L86+L88+L76+L80+L89+L90+L94</f>
        <v>3007583</v>
      </c>
      <c r="M73" s="96">
        <f>M74+M84+M85+M86+M88+M76+M80+M89+M90+M94</f>
        <v>0</v>
      </c>
      <c r="N73" s="96">
        <f>N74+N84+N85+N86+N88+N76+N80+N89+N90+N94</f>
        <v>0</v>
      </c>
      <c r="O73" s="96">
        <f>O74+O84+O85+O86+O88+O76+O80+O89+O90+O94+O81+O91</f>
        <v>2245829</v>
      </c>
      <c r="P73" s="96">
        <f t="shared" si="6"/>
        <v>131620692.6</v>
      </c>
    </row>
    <row r="74" spans="1:16" s="54" customFormat="1" ht="24.75" customHeight="1">
      <c r="A74" s="14" t="s">
        <v>66</v>
      </c>
      <c r="B74" s="24" t="s">
        <v>14</v>
      </c>
      <c r="C74" s="17" t="s">
        <v>13</v>
      </c>
      <c r="D74" s="19" t="s">
        <v>67</v>
      </c>
      <c r="E74" s="96">
        <f>F74+I74</f>
        <v>25728327.6</v>
      </c>
      <c r="F74" s="96">
        <f>24967289-8000+253170+8000-96631.4+49000+555500</f>
        <v>25728327.6</v>
      </c>
      <c r="G74" s="96">
        <f>18107750-130000</f>
        <v>17977750</v>
      </c>
      <c r="H74" s="96">
        <f>1306014+203720+488000</f>
        <v>1997734</v>
      </c>
      <c r="I74" s="96"/>
      <c r="J74" s="96">
        <f>L74+O74</f>
        <v>1505000</v>
      </c>
      <c r="K74" s="101"/>
      <c r="L74" s="96">
        <v>1505000</v>
      </c>
      <c r="M74" s="102"/>
      <c r="N74" s="102"/>
      <c r="O74" s="96"/>
      <c r="P74" s="96">
        <f>J74+E74</f>
        <v>27233327.6</v>
      </c>
    </row>
    <row r="75" spans="1:16" s="54" customFormat="1" ht="36.75" customHeight="1">
      <c r="A75" s="14" t="s">
        <v>166</v>
      </c>
      <c r="B75" s="24" t="s">
        <v>167</v>
      </c>
      <c r="C75" s="17"/>
      <c r="D75" s="19" t="s">
        <v>168</v>
      </c>
      <c r="E75" s="96">
        <f>F75+I75</f>
        <v>23887259</v>
      </c>
      <c r="F75" s="96">
        <f>F76</f>
        <v>23887259</v>
      </c>
      <c r="G75" s="96">
        <f>G76</f>
        <v>14080208</v>
      </c>
      <c r="H75" s="96">
        <f>H76</f>
        <v>4789522</v>
      </c>
      <c r="I75" s="96">
        <f>I76</f>
        <v>0</v>
      </c>
      <c r="J75" s="96">
        <f>L75+O75</f>
        <v>1502582</v>
      </c>
      <c r="K75" s="96">
        <f>K76</f>
        <v>0</v>
      </c>
      <c r="L75" s="96">
        <f>L76</f>
        <v>1502582</v>
      </c>
      <c r="M75" s="96">
        <f>M76</f>
        <v>0</v>
      </c>
      <c r="N75" s="96">
        <f>N76</f>
        <v>0</v>
      </c>
      <c r="O75" s="96">
        <f>O76</f>
        <v>0</v>
      </c>
      <c r="P75" s="96">
        <f>J75+E75</f>
        <v>25389841</v>
      </c>
    </row>
    <row r="76" spans="1:16" s="54" customFormat="1" ht="42.75" customHeight="1">
      <c r="A76" s="14" t="s">
        <v>147</v>
      </c>
      <c r="B76" s="24" t="s">
        <v>148</v>
      </c>
      <c r="C76" s="17" t="s">
        <v>40</v>
      </c>
      <c r="D76" s="19" t="s">
        <v>149</v>
      </c>
      <c r="E76" s="96">
        <f>F76+I76</f>
        <v>23887259</v>
      </c>
      <c r="F76" s="96">
        <f>23218819+817731+180000-76529+39621-292383</f>
        <v>23887259</v>
      </c>
      <c r="G76" s="96">
        <f>14564208-200000-284000</f>
        <v>14080208</v>
      </c>
      <c r="H76" s="96">
        <f>3471722+747800+570000</f>
        <v>4789522</v>
      </c>
      <c r="I76" s="96"/>
      <c r="J76" s="96">
        <f>L76+O76</f>
        <v>1502582</v>
      </c>
      <c r="K76" s="101"/>
      <c r="L76" s="96">
        <v>1502582</v>
      </c>
      <c r="M76" s="96"/>
      <c r="N76" s="96"/>
      <c r="O76" s="96"/>
      <c r="P76" s="96">
        <f t="shared" si="6"/>
        <v>25389841</v>
      </c>
    </row>
    <row r="77" spans="1:16" s="54" customFormat="1" ht="21" customHeight="1">
      <c r="A77" s="14"/>
      <c r="B77" s="24"/>
      <c r="C77" s="17"/>
      <c r="D77" s="19" t="s">
        <v>41</v>
      </c>
      <c r="E77" s="96"/>
      <c r="F77" s="96"/>
      <c r="G77" s="96"/>
      <c r="H77" s="96"/>
      <c r="I77" s="96"/>
      <c r="J77" s="96"/>
      <c r="K77" s="101"/>
      <c r="L77" s="96"/>
      <c r="M77" s="96"/>
      <c r="N77" s="96"/>
      <c r="O77" s="96"/>
      <c r="P77" s="96"/>
    </row>
    <row r="78" spans="1:16" s="54" customFormat="1" ht="87.75" customHeight="1">
      <c r="A78" s="14"/>
      <c r="B78" s="24"/>
      <c r="C78" s="17"/>
      <c r="D78" s="19" t="s">
        <v>139</v>
      </c>
      <c r="E78" s="96">
        <f>F78+I78</f>
        <v>2534900</v>
      </c>
      <c r="F78" s="96">
        <v>2534900</v>
      </c>
      <c r="G78" s="96">
        <v>2077800</v>
      </c>
      <c r="H78" s="96"/>
      <c r="I78" s="96"/>
      <c r="J78" s="96"/>
      <c r="K78" s="101"/>
      <c r="L78" s="96"/>
      <c r="M78" s="96"/>
      <c r="N78" s="96"/>
      <c r="O78" s="96"/>
      <c r="P78" s="96">
        <f t="shared" si="6"/>
        <v>2534900</v>
      </c>
    </row>
    <row r="79" spans="1:16" s="54" customFormat="1" ht="37.5" customHeight="1">
      <c r="A79" s="14" t="s">
        <v>169</v>
      </c>
      <c r="B79" s="24" t="s">
        <v>16</v>
      </c>
      <c r="C79" s="17"/>
      <c r="D79" s="19" t="s">
        <v>170</v>
      </c>
      <c r="E79" s="96">
        <f>F79+I79</f>
        <v>63898000</v>
      </c>
      <c r="F79" s="96">
        <f>F80</f>
        <v>63898000</v>
      </c>
      <c r="G79" s="96">
        <f>G80</f>
        <v>52375400</v>
      </c>
      <c r="H79" s="96">
        <f>H80</f>
        <v>0</v>
      </c>
      <c r="I79" s="96">
        <f>I80</f>
        <v>0</v>
      </c>
      <c r="J79" s="96"/>
      <c r="K79" s="101"/>
      <c r="L79" s="96"/>
      <c r="M79" s="96"/>
      <c r="N79" s="96"/>
      <c r="O79" s="96"/>
      <c r="P79" s="96">
        <f>J79+E79</f>
        <v>63898000</v>
      </c>
    </row>
    <row r="80" spans="1:16" s="54" customFormat="1" ht="36.75" customHeight="1">
      <c r="A80" s="14" t="s">
        <v>150</v>
      </c>
      <c r="B80" s="24" t="s">
        <v>151</v>
      </c>
      <c r="C80" s="17" t="s">
        <v>40</v>
      </c>
      <c r="D80" s="19" t="s">
        <v>149</v>
      </c>
      <c r="E80" s="96">
        <f>F80+I80</f>
        <v>63898000</v>
      </c>
      <c r="F80" s="96">
        <v>63898000</v>
      </c>
      <c r="G80" s="96">
        <v>52375400</v>
      </c>
      <c r="H80" s="96"/>
      <c r="I80" s="96"/>
      <c r="J80" s="96"/>
      <c r="K80" s="101"/>
      <c r="L80" s="96"/>
      <c r="M80" s="96"/>
      <c r="N80" s="96"/>
      <c r="O80" s="96"/>
      <c r="P80" s="96">
        <f t="shared" si="6"/>
        <v>63898000</v>
      </c>
    </row>
    <row r="81" spans="1:16" s="54" customFormat="1" ht="132" customHeight="1">
      <c r="A81" s="124" t="s">
        <v>183</v>
      </c>
      <c r="B81" s="124">
        <v>1060</v>
      </c>
      <c r="C81" s="125"/>
      <c r="D81" s="123" t="s">
        <v>184</v>
      </c>
      <c r="E81" s="96">
        <f>F81+I81</f>
        <v>1029331</v>
      </c>
      <c r="F81" s="96">
        <f>F82</f>
        <v>1029331</v>
      </c>
      <c r="G81" s="96">
        <f>G82</f>
        <v>240000</v>
      </c>
      <c r="H81" s="96">
        <f>H82</f>
        <v>0</v>
      </c>
      <c r="I81" s="96">
        <f>I82</f>
        <v>0</v>
      </c>
      <c r="J81" s="96">
        <f>L81+O81</f>
        <v>2052180</v>
      </c>
      <c r="K81" s="96">
        <f>K82</f>
        <v>2052180</v>
      </c>
      <c r="L81" s="96">
        <f>L82</f>
        <v>0</v>
      </c>
      <c r="M81" s="96">
        <f>M82</f>
        <v>0</v>
      </c>
      <c r="N81" s="96">
        <f>N82</f>
        <v>0</v>
      </c>
      <c r="O81" s="96">
        <f>O82</f>
        <v>2052180</v>
      </c>
      <c r="P81" s="96">
        <f t="shared" si="6"/>
        <v>3081511</v>
      </c>
    </row>
    <row r="82" spans="1:16" s="54" customFormat="1" ht="36.75" customHeight="1">
      <c r="A82" s="124" t="s">
        <v>185</v>
      </c>
      <c r="B82" s="124" t="s">
        <v>186</v>
      </c>
      <c r="C82" s="125" t="s">
        <v>40</v>
      </c>
      <c r="D82" s="126" t="s">
        <v>187</v>
      </c>
      <c r="E82" s="96">
        <f>F82+I82</f>
        <v>1029331</v>
      </c>
      <c r="F82" s="96">
        <f>282765+161203+35000+193987+38376+318000</f>
        <v>1029331</v>
      </c>
      <c r="G82" s="96">
        <v>240000</v>
      </c>
      <c r="H82" s="96"/>
      <c r="I82" s="96"/>
      <c r="J82" s="96">
        <f>L82+O82</f>
        <v>2052180</v>
      </c>
      <c r="K82" s="101">
        <f>630557-193649+1315284+299988</f>
        <v>2052180</v>
      </c>
      <c r="L82" s="96"/>
      <c r="M82" s="96"/>
      <c r="N82" s="96"/>
      <c r="O82" s="96">
        <f>630557-193649+1315284+299988</f>
        <v>2052180</v>
      </c>
      <c r="P82" s="96">
        <f t="shared" si="6"/>
        <v>3081511</v>
      </c>
    </row>
    <row r="83" spans="1:16" s="54" customFormat="1" ht="18" customHeight="1">
      <c r="A83" s="14"/>
      <c r="B83" s="24"/>
      <c r="C83" s="17"/>
      <c r="D83" s="19"/>
      <c r="E83" s="96"/>
      <c r="F83" s="96"/>
      <c r="G83" s="96"/>
      <c r="H83" s="96"/>
      <c r="I83" s="96"/>
      <c r="J83" s="96"/>
      <c r="K83" s="101"/>
      <c r="L83" s="96"/>
      <c r="M83" s="96"/>
      <c r="N83" s="96"/>
      <c r="O83" s="96"/>
      <c r="P83" s="96"/>
    </row>
    <row r="84" spans="1:16" s="54" customFormat="1" ht="50.25" customHeight="1">
      <c r="A84" s="14" t="s">
        <v>152</v>
      </c>
      <c r="B84" s="24" t="s">
        <v>105</v>
      </c>
      <c r="C84" s="17" t="s">
        <v>42</v>
      </c>
      <c r="D84" s="19" t="s">
        <v>91</v>
      </c>
      <c r="E84" s="81">
        <f>F84+I84</f>
        <v>3636757</v>
      </c>
      <c r="F84" s="81">
        <f>4243460-315820-20000+11417-28300-254000</f>
        <v>3636757</v>
      </c>
      <c r="G84" s="81">
        <f>3228860-349020-41300-216000</f>
        <v>2622540</v>
      </c>
      <c r="H84" s="81">
        <f>212500+11417+23000</f>
        <v>246917</v>
      </c>
      <c r="I84" s="81"/>
      <c r="J84" s="96">
        <f>L84+O84</f>
        <v>1</v>
      </c>
      <c r="K84" s="101"/>
      <c r="L84" s="96">
        <v>1</v>
      </c>
      <c r="M84" s="96"/>
      <c r="N84" s="96"/>
      <c r="O84" s="96"/>
      <c r="P84" s="96">
        <f t="shared" si="6"/>
        <v>3636758</v>
      </c>
    </row>
    <row r="85" spans="1:16" s="54" customFormat="1" ht="6.75" customHeight="1">
      <c r="A85" s="14"/>
      <c r="B85" s="24"/>
      <c r="C85" s="17"/>
      <c r="D85" s="19"/>
      <c r="E85" s="96"/>
      <c r="F85" s="96"/>
      <c r="G85" s="96"/>
      <c r="H85" s="96"/>
      <c r="I85" s="96"/>
      <c r="J85" s="96"/>
      <c r="K85" s="96"/>
      <c r="L85" s="96"/>
      <c r="M85" s="96"/>
      <c r="N85" s="96"/>
      <c r="O85" s="96"/>
      <c r="P85" s="96"/>
    </row>
    <row r="86" spans="1:16" s="54" customFormat="1" ht="34.5" customHeight="1">
      <c r="A86" s="14" t="s">
        <v>153</v>
      </c>
      <c r="B86" s="24" t="s">
        <v>154</v>
      </c>
      <c r="C86" s="17" t="s">
        <v>15</v>
      </c>
      <c r="D86" s="19" t="s">
        <v>77</v>
      </c>
      <c r="E86" s="96">
        <f>F86+I86</f>
        <v>3478166</v>
      </c>
      <c r="F86" s="96">
        <f>3387498+62400+3268+25000</f>
        <v>3478166</v>
      </c>
      <c r="G86" s="96">
        <f>2664700+51100-8700</f>
        <v>2707100</v>
      </c>
      <c r="H86" s="96">
        <f>44298+3268+10560</f>
        <v>58126</v>
      </c>
      <c r="I86" s="96"/>
      <c r="J86" s="96">
        <f>L86+O86</f>
        <v>0</v>
      </c>
      <c r="K86" s="101"/>
      <c r="L86" s="96"/>
      <c r="M86" s="96"/>
      <c r="N86" s="96"/>
      <c r="O86" s="96"/>
      <c r="P86" s="96">
        <f t="shared" si="6"/>
        <v>3478166</v>
      </c>
    </row>
    <row r="87" spans="1:16" s="54" customFormat="1" ht="12.75">
      <c r="A87" s="14"/>
      <c r="B87" s="24"/>
      <c r="C87" s="17"/>
      <c r="D87" s="19"/>
      <c r="E87" s="96"/>
      <c r="F87" s="96"/>
      <c r="G87" s="96"/>
      <c r="H87" s="96"/>
      <c r="I87" s="96"/>
      <c r="J87" s="96"/>
      <c r="K87" s="101"/>
      <c r="L87" s="96"/>
      <c r="M87" s="96"/>
      <c r="N87" s="96"/>
      <c r="O87" s="96"/>
      <c r="P87" s="96"/>
    </row>
    <row r="88" spans="1:16" s="54" customFormat="1" ht="12.75">
      <c r="A88" s="14" t="s">
        <v>155</v>
      </c>
      <c r="B88" s="24" t="s">
        <v>156</v>
      </c>
      <c r="C88" s="17" t="s">
        <v>15</v>
      </c>
      <c r="D88" s="19" t="s">
        <v>78</v>
      </c>
      <c r="E88" s="96">
        <f>F88+I88</f>
        <v>1180508</v>
      </c>
      <c r="F88" s="96">
        <f>1254600+12080-86172</f>
        <v>1180508</v>
      </c>
      <c r="G88" s="96"/>
      <c r="H88" s="96"/>
      <c r="I88" s="96"/>
      <c r="J88" s="96"/>
      <c r="K88" s="101"/>
      <c r="L88" s="96"/>
      <c r="M88" s="96"/>
      <c r="N88" s="96"/>
      <c r="O88" s="96"/>
      <c r="P88" s="96">
        <f t="shared" si="6"/>
        <v>1180508</v>
      </c>
    </row>
    <row r="89" spans="1:16" s="54" customFormat="1" ht="50.25" customHeight="1">
      <c r="A89" s="14" t="s">
        <v>157</v>
      </c>
      <c r="B89" s="24" t="s">
        <v>158</v>
      </c>
      <c r="C89" s="17" t="s">
        <v>15</v>
      </c>
      <c r="D89" s="19" t="s">
        <v>159</v>
      </c>
      <c r="E89" s="96">
        <f>F89+I89</f>
        <v>560790</v>
      </c>
      <c r="F89" s="96">
        <f>481415+79375</f>
        <v>560790</v>
      </c>
      <c r="G89" s="96">
        <v>185265</v>
      </c>
      <c r="H89" s="96">
        <f>86850+43000+43965</f>
        <v>173815</v>
      </c>
      <c r="I89" s="96"/>
      <c r="J89" s="96"/>
      <c r="K89" s="101"/>
      <c r="L89" s="96"/>
      <c r="M89" s="96"/>
      <c r="N89" s="96"/>
      <c r="O89" s="96"/>
      <c r="P89" s="96">
        <f t="shared" si="6"/>
        <v>560790</v>
      </c>
    </row>
    <row r="90" spans="1:18" s="54" customFormat="1" ht="52.5" customHeight="1">
      <c r="A90" s="14" t="s">
        <v>160</v>
      </c>
      <c r="B90" s="24" t="s">
        <v>161</v>
      </c>
      <c r="C90" s="17" t="s">
        <v>15</v>
      </c>
      <c r="D90" s="19" t="s">
        <v>162</v>
      </c>
      <c r="E90" s="96">
        <f>F90+I90</f>
        <v>1499035</v>
      </c>
      <c r="F90" s="96">
        <v>1499035</v>
      </c>
      <c r="G90" s="96">
        <v>1228717</v>
      </c>
      <c r="H90" s="96"/>
      <c r="I90" s="96"/>
      <c r="J90" s="96"/>
      <c r="K90" s="101"/>
      <c r="L90" s="96"/>
      <c r="M90" s="96"/>
      <c r="N90" s="96"/>
      <c r="O90" s="96"/>
      <c r="P90" s="96">
        <f t="shared" si="6"/>
        <v>1499035</v>
      </c>
      <c r="Q90" s="117">
        <f>P89+P90</f>
        <v>2059825</v>
      </c>
      <c r="R90" s="117">
        <f>G89+G90</f>
        <v>1413982</v>
      </c>
    </row>
    <row r="91" spans="1:18" s="54" customFormat="1" ht="102.75" customHeight="1">
      <c r="A91" s="14" t="s">
        <v>203</v>
      </c>
      <c r="B91" s="24" t="s">
        <v>204</v>
      </c>
      <c r="C91" s="17" t="s">
        <v>15</v>
      </c>
      <c r="D91" s="19" t="s">
        <v>205</v>
      </c>
      <c r="E91" s="96"/>
      <c r="F91" s="96"/>
      <c r="G91" s="96"/>
      <c r="H91" s="96"/>
      <c r="I91" s="96"/>
      <c r="J91" s="96">
        <f>L91+O91</f>
        <v>193649</v>
      </c>
      <c r="K91" s="101">
        <v>193649</v>
      </c>
      <c r="L91" s="96"/>
      <c r="M91" s="96"/>
      <c r="N91" s="96"/>
      <c r="O91" s="96">
        <v>193649</v>
      </c>
      <c r="P91" s="96">
        <f t="shared" si="6"/>
        <v>193649</v>
      </c>
      <c r="Q91" s="117"/>
      <c r="R91" s="117"/>
    </row>
    <row r="92" spans="1:18" s="54" customFormat="1" ht="102.75" customHeight="1">
      <c r="A92" s="14" t="s">
        <v>227</v>
      </c>
      <c r="B92" s="24" t="s">
        <v>228</v>
      </c>
      <c r="C92" s="17" t="s">
        <v>15</v>
      </c>
      <c r="D92" s="19" t="s">
        <v>229</v>
      </c>
      <c r="E92" s="96">
        <f aca="true" t="shared" si="7" ref="E92:E97">F92+I92</f>
        <v>76841</v>
      </c>
      <c r="F92" s="96">
        <f>76529+312</f>
        <v>76841</v>
      </c>
      <c r="G92" s="96"/>
      <c r="H92" s="96"/>
      <c r="I92" s="96"/>
      <c r="J92" s="96"/>
      <c r="K92" s="101"/>
      <c r="L92" s="96"/>
      <c r="M92" s="96"/>
      <c r="N92" s="96"/>
      <c r="O92" s="96"/>
      <c r="P92" s="96">
        <f t="shared" si="6"/>
        <v>76841</v>
      </c>
      <c r="Q92" s="117"/>
      <c r="R92" s="117"/>
    </row>
    <row r="93" spans="1:18" s="54" customFormat="1" ht="102.75" customHeight="1">
      <c r="A93" s="14" t="s">
        <v>230</v>
      </c>
      <c r="B93" s="24" t="s">
        <v>231</v>
      </c>
      <c r="C93" s="17" t="s">
        <v>15</v>
      </c>
      <c r="D93" s="19" t="s">
        <v>232</v>
      </c>
      <c r="E93" s="96">
        <f t="shared" si="7"/>
        <v>887842</v>
      </c>
      <c r="F93" s="141">
        <v>887842</v>
      </c>
      <c r="G93" s="141">
        <v>15875</v>
      </c>
      <c r="H93" s="96"/>
      <c r="I93" s="96"/>
      <c r="J93" s="96"/>
      <c r="K93" s="101"/>
      <c r="L93" s="96"/>
      <c r="M93" s="96"/>
      <c r="N93" s="96"/>
      <c r="O93" s="96"/>
      <c r="P93" s="96">
        <f t="shared" si="6"/>
        <v>887842</v>
      </c>
      <c r="Q93" s="117"/>
      <c r="R93" s="117"/>
    </row>
    <row r="94" spans="1:18" s="54" customFormat="1" ht="64.5" customHeight="1">
      <c r="A94" s="14" t="s">
        <v>163</v>
      </c>
      <c r="B94" s="24" t="s">
        <v>164</v>
      </c>
      <c r="C94" s="17" t="s">
        <v>15</v>
      </c>
      <c r="D94" s="19" t="s">
        <v>165</v>
      </c>
      <c r="E94" s="96">
        <f t="shared" si="7"/>
        <v>504424</v>
      </c>
      <c r="F94" s="96">
        <f>334625+169799</f>
        <v>504424</v>
      </c>
      <c r="G94" s="96">
        <v>210985</v>
      </c>
      <c r="H94" s="96"/>
      <c r="I94" s="96"/>
      <c r="J94" s="96">
        <f>L94+O94</f>
        <v>0</v>
      </c>
      <c r="K94" s="101"/>
      <c r="L94" s="96"/>
      <c r="M94" s="96"/>
      <c r="N94" s="96"/>
      <c r="O94" s="96"/>
      <c r="P94" s="96">
        <f t="shared" si="6"/>
        <v>504424</v>
      </c>
      <c r="Q94" s="117"/>
      <c r="R94" s="117"/>
    </row>
    <row r="95" spans="1:18" s="54" customFormat="1" ht="72.75" customHeight="1">
      <c r="A95" s="14" t="s">
        <v>210</v>
      </c>
      <c r="B95" s="24" t="s">
        <v>211</v>
      </c>
      <c r="C95" s="17" t="s">
        <v>15</v>
      </c>
      <c r="D95" s="19" t="s">
        <v>212</v>
      </c>
      <c r="E95" s="96">
        <f t="shared" si="7"/>
        <v>406706.47</v>
      </c>
      <c r="F95" s="96">
        <f>346114+60592.47</f>
        <v>406706.47</v>
      </c>
      <c r="G95" s="96">
        <v>99154</v>
      </c>
      <c r="H95" s="96"/>
      <c r="I95" s="96"/>
      <c r="J95" s="96"/>
      <c r="K95" s="101"/>
      <c r="L95" s="96"/>
      <c r="M95" s="96"/>
      <c r="N95" s="96"/>
      <c r="O95" s="96"/>
      <c r="P95" s="96">
        <f t="shared" si="6"/>
        <v>406706.47</v>
      </c>
      <c r="Q95" s="117"/>
      <c r="R95" s="117"/>
    </row>
    <row r="96" spans="1:18" s="54" customFormat="1" ht="40.5" customHeight="1">
      <c r="A96" s="14" t="s">
        <v>213</v>
      </c>
      <c r="B96" s="24" t="s">
        <v>214</v>
      </c>
      <c r="C96" s="17" t="s">
        <v>178</v>
      </c>
      <c r="D96" s="19" t="s">
        <v>215</v>
      </c>
      <c r="E96" s="96">
        <f t="shared" si="7"/>
        <v>3682</v>
      </c>
      <c r="F96" s="96">
        <v>3682</v>
      </c>
      <c r="G96" s="96"/>
      <c r="H96" s="96"/>
      <c r="I96" s="96"/>
      <c r="J96" s="96"/>
      <c r="K96" s="101"/>
      <c r="L96" s="96"/>
      <c r="M96" s="96"/>
      <c r="N96" s="96"/>
      <c r="O96" s="96"/>
      <c r="P96" s="96">
        <f t="shared" si="6"/>
        <v>3682</v>
      </c>
      <c r="Q96" s="117"/>
      <c r="R96" s="117"/>
    </row>
    <row r="97" spans="1:16" s="54" customFormat="1" ht="54" customHeight="1">
      <c r="A97" s="44" t="s">
        <v>68</v>
      </c>
      <c r="B97" s="27">
        <v>5031</v>
      </c>
      <c r="C97" s="28" t="s">
        <v>20</v>
      </c>
      <c r="D97" s="31" t="s">
        <v>43</v>
      </c>
      <c r="E97" s="81">
        <f t="shared" si="7"/>
        <v>3234453</v>
      </c>
      <c r="F97" s="81">
        <f>3202237-162180-10000+17496+186900</f>
        <v>3234453</v>
      </c>
      <c r="G97" s="81">
        <f>2484200-177980+36900+130000</f>
        <v>2473120</v>
      </c>
      <c r="H97" s="81">
        <f>134791+17496+28300</f>
        <v>180587</v>
      </c>
      <c r="I97" s="96"/>
      <c r="J97" s="96">
        <f>L97+O97</f>
        <v>892</v>
      </c>
      <c r="K97" s="101"/>
      <c r="L97" s="96">
        <v>892</v>
      </c>
      <c r="M97" s="96"/>
      <c r="N97" s="96"/>
      <c r="O97" s="96"/>
      <c r="P97" s="96">
        <f t="shared" si="6"/>
        <v>3235345</v>
      </c>
    </row>
    <row r="98" spans="1:16" s="54" customFormat="1" ht="9" customHeight="1">
      <c r="A98" s="44"/>
      <c r="B98" s="27"/>
      <c r="C98" s="51"/>
      <c r="D98" s="31"/>
      <c r="E98" s="96"/>
      <c r="F98" s="96"/>
      <c r="G98" s="96"/>
      <c r="H98" s="96"/>
      <c r="I98" s="96"/>
      <c r="J98" s="96"/>
      <c r="K98" s="101"/>
      <c r="L98" s="96"/>
      <c r="M98" s="96"/>
      <c r="N98" s="96"/>
      <c r="O98" s="96"/>
      <c r="P98" s="96"/>
    </row>
    <row r="99" spans="1:21" s="54" customFormat="1" ht="72" customHeight="1">
      <c r="A99" s="44" t="s">
        <v>69</v>
      </c>
      <c r="B99" s="27">
        <v>5061</v>
      </c>
      <c r="C99" s="28" t="s">
        <v>20</v>
      </c>
      <c r="D99" s="31" t="s">
        <v>26</v>
      </c>
      <c r="E99" s="96">
        <f>F99+I99</f>
        <v>100000</v>
      </c>
      <c r="F99" s="96">
        <v>100000</v>
      </c>
      <c r="G99" s="96"/>
      <c r="H99" s="96"/>
      <c r="I99" s="96"/>
      <c r="J99" s="96">
        <f>L99+O99</f>
        <v>0</v>
      </c>
      <c r="K99" s="101"/>
      <c r="L99" s="96"/>
      <c r="M99" s="96"/>
      <c r="N99" s="96"/>
      <c r="O99" s="96"/>
      <c r="P99" s="96">
        <f>J99+E99</f>
        <v>100000</v>
      </c>
      <c r="R99" s="121" t="s">
        <v>188</v>
      </c>
      <c r="S99" s="121" t="s">
        <v>189</v>
      </c>
      <c r="T99" s="122" t="s">
        <v>143</v>
      </c>
      <c r="U99" s="123" t="s">
        <v>190</v>
      </c>
    </row>
    <row r="100" spans="1:21" s="54" customFormat="1" ht="33" customHeight="1">
      <c r="A100" s="44" t="s">
        <v>188</v>
      </c>
      <c r="B100" s="27">
        <v>7321</v>
      </c>
      <c r="C100" s="28" t="s">
        <v>143</v>
      </c>
      <c r="D100" s="31" t="s">
        <v>216</v>
      </c>
      <c r="E100" s="96"/>
      <c r="F100" s="96"/>
      <c r="G100" s="96"/>
      <c r="H100" s="96"/>
      <c r="I100" s="96"/>
      <c r="J100" s="96">
        <f>L100+O100</f>
        <v>34000</v>
      </c>
      <c r="K100" s="101">
        <v>34000</v>
      </c>
      <c r="L100" s="96"/>
      <c r="M100" s="96"/>
      <c r="N100" s="96"/>
      <c r="O100" s="96">
        <v>34000</v>
      </c>
      <c r="P100" s="96">
        <f>J100+E100</f>
        <v>34000</v>
      </c>
      <c r="R100" s="136"/>
      <c r="S100" s="136"/>
      <c r="T100" s="137"/>
      <c r="U100" s="138"/>
    </row>
    <row r="101" spans="1:21" s="54" customFormat="1" ht="60" customHeight="1">
      <c r="A101" s="44" t="s">
        <v>226</v>
      </c>
      <c r="B101" s="27">
        <v>7363</v>
      </c>
      <c r="C101" s="28" t="s">
        <v>137</v>
      </c>
      <c r="D101" s="31" t="s">
        <v>221</v>
      </c>
      <c r="E101" s="96"/>
      <c r="F101" s="96"/>
      <c r="G101" s="96"/>
      <c r="H101" s="96"/>
      <c r="I101" s="96"/>
      <c r="J101" s="96">
        <f>L101+O101</f>
        <v>250000</v>
      </c>
      <c r="K101" s="101">
        <v>250000</v>
      </c>
      <c r="L101" s="96"/>
      <c r="M101" s="96"/>
      <c r="N101" s="96"/>
      <c r="O101" s="96">
        <v>250000</v>
      </c>
      <c r="P101" s="96">
        <f>J101+E101</f>
        <v>250000</v>
      </c>
      <c r="R101" s="136"/>
      <c r="S101" s="136"/>
      <c r="T101" s="137"/>
      <c r="U101" s="138"/>
    </row>
    <row r="102" spans="1:16" s="54" customFormat="1" ht="12.75">
      <c r="A102" s="20"/>
      <c r="B102" s="20"/>
      <c r="C102" s="21"/>
      <c r="D102" s="66" t="s">
        <v>35</v>
      </c>
      <c r="E102" s="80">
        <f>F102+I102</f>
        <v>130963883.07</v>
      </c>
      <c r="F102" s="80">
        <f>F73+F72+F97+F99+F95+F96+J117</f>
        <v>130963883.07</v>
      </c>
      <c r="G102" s="80">
        <f>G73+G72+G97+G99</f>
        <v>94914739</v>
      </c>
      <c r="H102" s="80">
        <f>H73+H72+H97+H99</f>
        <v>7446701</v>
      </c>
      <c r="I102" s="80">
        <f>I73+I72+I97+I99</f>
        <v>0</v>
      </c>
      <c r="J102" s="80">
        <f>L102+O102</f>
        <v>5538304</v>
      </c>
      <c r="K102" s="80">
        <f>K73+K72+K97+K99+K100+K101</f>
        <v>2529829</v>
      </c>
      <c r="L102" s="80">
        <f>L73+L72+L97+L99</f>
        <v>3008475</v>
      </c>
      <c r="M102" s="80">
        <f>M73+M72+M97+M99</f>
        <v>0</v>
      </c>
      <c r="N102" s="80">
        <f>N73+N72+N97+N99</f>
        <v>0</v>
      </c>
      <c r="O102" s="80">
        <f>O73+O72+O97+O99+O100+O101</f>
        <v>2529829</v>
      </c>
      <c r="P102" s="80">
        <f>J102+E102</f>
        <v>136502187.07</v>
      </c>
    </row>
    <row r="103" spans="1:16" ht="55.5" customHeight="1">
      <c r="A103" s="33" t="s">
        <v>32</v>
      </c>
      <c r="B103" s="24"/>
      <c r="C103" s="22"/>
      <c r="D103" s="16" t="s">
        <v>37</v>
      </c>
      <c r="E103" s="104"/>
      <c r="F103" s="104"/>
      <c r="G103" s="104"/>
      <c r="H103" s="104"/>
      <c r="I103" s="104"/>
      <c r="J103" s="104"/>
      <c r="K103" s="105"/>
      <c r="L103" s="104"/>
      <c r="M103" s="104"/>
      <c r="N103" s="104"/>
      <c r="O103" s="104"/>
      <c r="P103" s="104"/>
    </row>
    <row r="104" spans="1:16" ht="50.25" customHeight="1">
      <c r="A104" s="33" t="s">
        <v>34</v>
      </c>
      <c r="B104" s="24"/>
      <c r="C104" s="15"/>
      <c r="D104" s="16" t="s">
        <v>37</v>
      </c>
      <c r="E104" s="104"/>
      <c r="F104" s="106"/>
      <c r="G104" s="102"/>
      <c r="H104" s="102"/>
      <c r="I104" s="102"/>
      <c r="J104" s="102"/>
      <c r="K104" s="103"/>
      <c r="L104" s="102"/>
      <c r="M104" s="102"/>
      <c r="N104" s="102"/>
      <c r="O104" s="102"/>
      <c r="P104" s="102"/>
    </row>
    <row r="105" spans="1:16" s="54" customFormat="1" ht="55.5" customHeight="1">
      <c r="A105" s="61" t="s">
        <v>70</v>
      </c>
      <c r="B105" s="62" t="s">
        <v>44</v>
      </c>
      <c r="C105" s="63" t="s">
        <v>12</v>
      </c>
      <c r="D105" s="50" t="s">
        <v>145</v>
      </c>
      <c r="E105" s="96">
        <f aca="true" t="shared" si="8" ref="E105:E112">F105+I105</f>
        <v>1756010</v>
      </c>
      <c r="F105" s="96">
        <f>1354752+44700+22400+334158</f>
        <v>1756010</v>
      </c>
      <c r="G105" s="96">
        <f>1057334+36600+18350+273906-8200</f>
        <v>1377990</v>
      </c>
      <c r="H105" s="96">
        <f>26268+10000</f>
        <v>36268</v>
      </c>
      <c r="I105" s="96"/>
      <c r="J105" s="96">
        <f>L105+O105</f>
        <v>0</v>
      </c>
      <c r="K105" s="101"/>
      <c r="L105" s="96"/>
      <c r="M105" s="96"/>
      <c r="N105" s="96"/>
      <c r="O105" s="96"/>
      <c r="P105" s="96">
        <f aca="true" t="shared" si="9" ref="P105:P113">J105+E105</f>
        <v>1756010</v>
      </c>
    </row>
    <row r="106" spans="1:16" s="54" customFormat="1" ht="12.75">
      <c r="A106" s="61" t="s">
        <v>123</v>
      </c>
      <c r="B106" s="62" t="s">
        <v>124</v>
      </c>
      <c r="C106" s="63" t="s">
        <v>45</v>
      </c>
      <c r="D106" s="26" t="s">
        <v>125</v>
      </c>
      <c r="E106" s="96">
        <f t="shared" si="8"/>
        <v>2220123</v>
      </c>
      <c r="F106" s="96">
        <f>2239293-59170+40000</f>
        <v>2220123</v>
      </c>
      <c r="G106" s="96">
        <f>1673593-48500-5500</f>
        <v>1619593</v>
      </c>
      <c r="H106" s="96">
        <f>125865+40000</f>
        <v>165865</v>
      </c>
      <c r="I106" s="96"/>
      <c r="J106" s="96"/>
      <c r="K106" s="96"/>
      <c r="L106" s="96"/>
      <c r="M106" s="96"/>
      <c r="N106" s="96"/>
      <c r="O106" s="96"/>
      <c r="P106" s="96">
        <f t="shared" si="9"/>
        <v>2220123</v>
      </c>
    </row>
    <row r="107" spans="1:16" s="54" customFormat="1" ht="21" customHeight="1">
      <c r="A107" s="44">
        <v>1014040</v>
      </c>
      <c r="B107" s="27">
        <v>4040</v>
      </c>
      <c r="C107" s="17" t="s">
        <v>45</v>
      </c>
      <c r="D107" s="31" t="s">
        <v>71</v>
      </c>
      <c r="E107" s="96">
        <f t="shared" si="8"/>
        <v>741809</v>
      </c>
      <c r="F107" s="96">
        <f>905219-152110-11300</f>
        <v>741809</v>
      </c>
      <c r="G107" s="96">
        <f>641883-124680-20000</f>
        <v>497203</v>
      </c>
      <c r="H107" s="96">
        <f>66932+23100</f>
        <v>90032</v>
      </c>
      <c r="I107" s="96"/>
      <c r="J107" s="96">
        <f>O107+L107</f>
        <v>0</v>
      </c>
      <c r="K107" s="101"/>
      <c r="L107" s="96"/>
      <c r="M107" s="96"/>
      <c r="N107" s="96"/>
      <c r="O107" s="96"/>
      <c r="P107" s="96">
        <f t="shared" si="9"/>
        <v>741809</v>
      </c>
    </row>
    <row r="108" spans="1:16" s="54" customFormat="1" ht="44.25" customHeight="1">
      <c r="A108" s="44">
        <v>1014060</v>
      </c>
      <c r="B108" s="27">
        <v>4060</v>
      </c>
      <c r="C108" s="17" t="s">
        <v>18</v>
      </c>
      <c r="D108" s="31" t="s">
        <v>72</v>
      </c>
      <c r="E108" s="96">
        <f t="shared" si="8"/>
        <v>6826813</v>
      </c>
      <c r="F108" s="96">
        <f>6841773-96100+2500-3805+35495+46950</f>
        <v>6826813</v>
      </c>
      <c r="G108" s="96">
        <f>4982903-123856+15-3125-110600</f>
        <v>4745337</v>
      </c>
      <c r="H108" s="96">
        <f>377250+137830</f>
        <v>515080</v>
      </c>
      <c r="I108" s="96"/>
      <c r="J108" s="96">
        <f>L108+O108</f>
        <v>7000</v>
      </c>
      <c r="K108" s="101"/>
      <c r="L108" s="96">
        <v>7000</v>
      </c>
      <c r="M108" s="96"/>
      <c r="N108" s="96"/>
      <c r="O108" s="96"/>
      <c r="P108" s="96">
        <f t="shared" si="9"/>
        <v>6833813</v>
      </c>
    </row>
    <row r="109" spans="1:16" s="54" customFormat="1" ht="12.75">
      <c r="A109" s="44"/>
      <c r="B109" s="27"/>
      <c r="C109" s="17"/>
      <c r="D109" s="31"/>
      <c r="E109" s="96"/>
      <c r="F109" s="96"/>
      <c r="G109" s="96"/>
      <c r="H109" s="96"/>
      <c r="I109" s="96"/>
      <c r="J109" s="96"/>
      <c r="K109" s="101"/>
      <c r="L109" s="96"/>
      <c r="M109" s="96"/>
      <c r="N109" s="96"/>
      <c r="O109" s="96"/>
      <c r="P109" s="96"/>
    </row>
    <row r="110" spans="1:16" s="54" customFormat="1" ht="12.75">
      <c r="A110" s="44">
        <v>1014082</v>
      </c>
      <c r="B110" s="27">
        <v>4082</v>
      </c>
      <c r="C110" s="17" t="s">
        <v>19</v>
      </c>
      <c r="D110" s="31" t="s">
        <v>76</v>
      </c>
      <c r="E110" s="96">
        <f t="shared" si="8"/>
        <v>175000</v>
      </c>
      <c r="F110" s="96">
        <v>175000</v>
      </c>
      <c r="G110" s="96"/>
      <c r="H110" s="96"/>
      <c r="I110" s="96"/>
      <c r="J110" s="96"/>
      <c r="K110" s="101"/>
      <c r="L110" s="96"/>
      <c r="M110" s="96"/>
      <c r="N110" s="96"/>
      <c r="O110" s="96"/>
      <c r="P110" s="96">
        <f t="shared" si="9"/>
        <v>175000</v>
      </c>
    </row>
    <row r="111" spans="1:16" s="54" customFormat="1" ht="12.75">
      <c r="A111" s="44"/>
      <c r="B111" s="27"/>
      <c r="C111" s="17"/>
      <c r="D111" s="31"/>
      <c r="E111" s="96"/>
      <c r="F111" s="96"/>
      <c r="G111" s="96"/>
      <c r="H111" s="96"/>
      <c r="I111" s="96"/>
      <c r="J111" s="96"/>
      <c r="K111" s="96"/>
      <c r="L111" s="96"/>
      <c r="M111" s="96"/>
      <c r="N111" s="96"/>
      <c r="O111" s="96"/>
      <c r="P111" s="96"/>
    </row>
    <row r="112" spans="1:16" s="54" customFormat="1" ht="33.75" customHeight="1">
      <c r="A112" s="44">
        <v>1011080</v>
      </c>
      <c r="B112" s="27">
        <v>1080</v>
      </c>
      <c r="C112" s="17" t="s">
        <v>42</v>
      </c>
      <c r="D112" s="31" t="s">
        <v>92</v>
      </c>
      <c r="E112" s="96">
        <f t="shared" si="8"/>
        <v>2517771</v>
      </c>
      <c r="F112" s="96">
        <f>2666344-119073-29500</f>
        <v>2517771</v>
      </c>
      <c r="G112" s="96">
        <f>2116469-97601-30000</f>
        <v>1988868</v>
      </c>
      <c r="H112" s="96">
        <f>46410+12500</f>
        <v>58910</v>
      </c>
      <c r="I112" s="96"/>
      <c r="J112" s="96">
        <f>O112+L112</f>
        <v>140000</v>
      </c>
      <c r="K112" s="101"/>
      <c r="L112" s="96">
        <v>140000</v>
      </c>
      <c r="M112" s="96">
        <v>112325</v>
      </c>
      <c r="N112" s="96"/>
      <c r="O112" s="96"/>
      <c r="P112" s="96">
        <f t="shared" si="9"/>
        <v>2657771</v>
      </c>
    </row>
    <row r="113" spans="1:16" s="54" customFormat="1" ht="33.75" customHeight="1">
      <c r="A113" s="124" t="s">
        <v>191</v>
      </c>
      <c r="B113" s="124" t="s">
        <v>192</v>
      </c>
      <c r="C113" s="125" t="s">
        <v>143</v>
      </c>
      <c r="D113" s="126" t="s">
        <v>193</v>
      </c>
      <c r="E113" s="96"/>
      <c r="F113" s="96"/>
      <c r="G113" s="96"/>
      <c r="H113" s="96"/>
      <c r="I113" s="96"/>
      <c r="J113" s="96">
        <f>O113+L113</f>
        <v>346465</v>
      </c>
      <c r="K113" s="101">
        <f>275946-10800+99513-265146+246952</f>
        <v>346465</v>
      </c>
      <c r="L113" s="96"/>
      <c r="M113" s="96"/>
      <c r="N113" s="96"/>
      <c r="O113" s="96">
        <f>275946-10800+99513-265146+246952</f>
        <v>346465</v>
      </c>
      <c r="P113" s="96">
        <f t="shared" si="9"/>
        <v>346465</v>
      </c>
    </row>
    <row r="114" spans="1:16" s="54" customFormat="1" ht="12.75">
      <c r="A114" s="55"/>
      <c r="B114" s="55"/>
      <c r="C114" s="56"/>
      <c r="D114" s="45" t="s">
        <v>35</v>
      </c>
      <c r="E114" s="80">
        <f>F114+I114</f>
        <v>14237526</v>
      </c>
      <c r="F114" s="80">
        <f>F105+F106+F112+F107+F108+F110</f>
        <v>14237526</v>
      </c>
      <c r="G114" s="80">
        <f>G105+G106+G112+G107+G108+G110</f>
        <v>10228991</v>
      </c>
      <c r="H114" s="80">
        <f>H105+H106+H112+H107+H108+H110</f>
        <v>866155</v>
      </c>
      <c r="I114" s="80">
        <f>I105+I106+I112+I107+I108+I110</f>
        <v>0</v>
      </c>
      <c r="J114" s="80">
        <f>L114+O114</f>
        <v>493465</v>
      </c>
      <c r="K114" s="80">
        <f>K105+K106+K112+K107+K108+K110+K113</f>
        <v>346465</v>
      </c>
      <c r="L114" s="80">
        <f>L105+L106+L112+L107+L108+L110+L113</f>
        <v>147000</v>
      </c>
      <c r="M114" s="80">
        <f>M105+M106+M112+M107+M108+M110+M113</f>
        <v>112325</v>
      </c>
      <c r="N114" s="80">
        <f>N105+N106+N112+N107+N108+N110+N113</f>
        <v>0</v>
      </c>
      <c r="O114" s="80">
        <f>O105+O106+O112+O107+O108+O110+O113</f>
        <v>346465</v>
      </c>
      <c r="P114" s="80">
        <f>E114+J114</f>
        <v>14730991</v>
      </c>
    </row>
    <row r="115" spans="1:16" s="54" customFormat="1" ht="25.5">
      <c r="A115" s="112" t="s">
        <v>126</v>
      </c>
      <c r="B115" s="112"/>
      <c r="C115" s="113"/>
      <c r="D115" s="114" t="s">
        <v>128</v>
      </c>
      <c r="E115" s="105"/>
      <c r="F115" s="105"/>
      <c r="G115" s="105"/>
      <c r="H115" s="105"/>
      <c r="I115" s="105"/>
      <c r="J115" s="105"/>
      <c r="K115" s="105"/>
      <c r="L115" s="105"/>
      <c r="M115" s="105"/>
      <c r="N115" s="105"/>
      <c r="O115" s="105"/>
      <c r="P115" s="105"/>
    </row>
    <row r="116" spans="1:16" s="54" customFormat="1" ht="25.5">
      <c r="A116" s="112" t="s">
        <v>127</v>
      </c>
      <c r="B116" s="112"/>
      <c r="C116" s="113"/>
      <c r="D116" s="114" t="s">
        <v>128</v>
      </c>
      <c r="E116" s="105"/>
      <c r="F116" s="105"/>
      <c r="G116" s="105"/>
      <c r="H116" s="105"/>
      <c r="I116" s="105"/>
      <c r="J116" s="105"/>
      <c r="K116" s="105"/>
      <c r="L116" s="105"/>
      <c r="M116" s="105"/>
      <c r="N116" s="105"/>
      <c r="O116" s="105"/>
      <c r="P116" s="105"/>
    </row>
    <row r="117" spans="1:16" s="54" customFormat="1" ht="48" customHeight="1">
      <c r="A117" s="112" t="s">
        <v>129</v>
      </c>
      <c r="B117" s="115" t="s">
        <v>44</v>
      </c>
      <c r="C117" s="113" t="s">
        <v>12</v>
      </c>
      <c r="D117" s="114" t="s">
        <v>146</v>
      </c>
      <c r="E117" s="96">
        <f>F117+I117</f>
        <v>1770188</v>
      </c>
      <c r="F117" s="105">
        <f>2019970+23700-100000-3682-37300-33000-99500</f>
        <v>1770188</v>
      </c>
      <c r="G117" s="105">
        <f>1587570+19660-82000-3000-27000-81500</f>
        <v>1413730</v>
      </c>
      <c r="H117" s="105">
        <f>37300-37300</f>
        <v>0</v>
      </c>
      <c r="I117" s="105"/>
      <c r="J117" s="105"/>
      <c r="K117" s="105"/>
      <c r="L117" s="105"/>
      <c r="M117" s="105"/>
      <c r="N117" s="105"/>
      <c r="O117" s="105"/>
      <c r="P117" s="96">
        <f>J117+E117</f>
        <v>1770188</v>
      </c>
    </row>
    <row r="118" spans="1:16" s="54" customFormat="1" ht="12.75">
      <c r="A118" s="58" t="s">
        <v>132</v>
      </c>
      <c r="B118" s="58" t="s">
        <v>133</v>
      </c>
      <c r="C118" s="59" t="s">
        <v>22</v>
      </c>
      <c r="D118" s="60" t="s">
        <v>134</v>
      </c>
      <c r="E118" s="105">
        <v>45000</v>
      </c>
      <c r="F118" s="105"/>
      <c r="G118" s="105"/>
      <c r="H118" s="105"/>
      <c r="I118" s="105"/>
      <c r="J118" s="105"/>
      <c r="K118" s="105"/>
      <c r="L118" s="105"/>
      <c r="M118" s="105"/>
      <c r="N118" s="105"/>
      <c r="O118" s="105"/>
      <c r="P118" s="96">
        <f>J118+E118</f>
        <v>45000</v>
      </c>
    </row>
    <row r="119" spans="1:16" s="54" customFormat="1" ht="12.75">
      <c r="A119" s="55"/>
      <c r="B119" s="55"/>
      <c r="C119" s="56"/>
      <c r="D119" s="45" t="s">
        <v>35</v>
      </c>
      <c r="E119" s="116">
        <f>F119+I119+E118</f>
        <v>1815188</v>
      </c>
      <c r="F119" s="116">
        <f>F117+F118</f>
        <v>1770188</v>
      </c>
      <c r="G119" s="116">
        <f>G117+G118</f>
        <v>1413730</v>
      </c>
      <c r="H119" s="116">
        <f>H117+H118</f>
        <v>0</v>
      </c>
      <c r="I119" s="116"/>
      <c r="J119" s="116"/>
      <c r="K119" s="116"/>
      <c r="L119" s="116"/>
      <c r="M119" s="116"/>
      <c r="N119" s="116"/>
      <c r="O119" s="116"/>
      <c r="P119" s="96">
        <f>J119+E119</f>
        <v>1815188</v>
      </c>
    </row>
    <row r="120" spans="1:27" s="54" customFormat="1" ht="12.75">
      <c r="A120" s="46"/>
      <c r="B120" s="47"/>
      <c r="C120" s="48"/>
      <c r="D120" s="48" t="s">
        <v>2</v>
      </c>
      <c r="E120" s="79">
        <f>F120+I120+E118</f>
        <v>197024414.79</v>
      </c>
      <c r="F120" s="79">
        <f>F119+F114+F102+F69</f>
        <v>196193242.79</v>
      </c>
      <c r="G120" s="79">
        <f>G119+G114+G102+G69</f>
        <v>128298021</v>
      </c>
      <c r="H120" s="79">
        <f>H119+H114+H102+H69</f>
        <v>10879819</v>
      </c>
      <c r="I120" s="79">
        <f>I119+I114+I102+I69</f>
        <v>786172</v>
      </c>
      <c r="J120" s="79">
        <f>L120+O120</f>
        <v>10849785.68</v>
      </c>
      <c r="K120" s="79">
        <f>K119+K114+K102+K69</f>
        <v>7200171.68</v>
      </c>
      <c r="L120" s="79">
        <f>L119+L114+L102+L69</f>
        <v>3649614</v>
      </c>
      <c r="M120" s="79">
        <f>M119+M114+M102+M69</f>
        <v>167325</v>
      </c>
      <c r="N120" s="79">
        <f>N119+N114+N102+N69</f>
        <v>0</v>
      </c>
      <c r="O120" s="79">
        <f>O119+O114+O102+O69</f>
        <v>7200171.68</v>
      </c>
      <c r="P120" s="80">
        <f>E120+J120</f>
        <v>207874200.47</v>
      </c>
      <c r="Q120" s="90"/>
      <c r="R120" s="90"/>
      <c r="S120" s="90"/>
      <c r="T120" s="90"/>
      <c r="U120" s="90"/>
      <c r="V120" s="90"/>
      <c r="W120" s="90"/>
      <c r="X120" s="90"/>
      <c r="Y120" s="90"/>
      <c r="Z120" s="90"/>
      <c r="AA120" s="91"/>
    </row>
    <row r="121" spans="1:27" s="54" customFormat="1" ht="4.5" customHeight="1">
      <c r="A121" s="127"/>
      <c r="B121" s="128"/>
      <c r="C121" s="129"/>
      <c r="D121" s="129"/>
      <c r="E121" s="130"/>
      <c r="F121" s="130"/>
      <c r="G121" s="130"/>
      <c r="H121" s="130"/>
      <c r="I121" s="130"/>
      <c r="J121" s="130"/>
      <c r="K121" s="130"/>
      <c r="L121" s="130"/>
      <c r="M121" s="130"/>
      <c r="N121" s="130"/>
      <c r="O121" s="130"/>
      <c r="P121" s="131"/>
      <c r="Q121" s="90"/>
      <c r="R121" s="90"/>
      <c r="S121" s="90"/>
      <c r="T121" s="90"/>
      <c r="U121" s="90"/>
      <c r="V121" s="90"/>
      <c r="W121" s="90"/>
      <c r="X121" s="90"/>
      <c r="Y121" s="90"/>
      <c r="Z121" s="90"/>
      <c r="AA121" s="91"/>
    </row>
    <row r="122" spans="1:16" s="54" customFormat="1" ht="57" customHeight="1">
      <c r="A122" s="57"/>
      <c r="B122" s="57"/>
      <c r="C122" s="57"/>
      <c r="D122" s="49" t="s">
        <v>28</v>
      </c>
      <c r="E122" s="78">
        <f>F122+I122</f>
        <v>70278786.47</v>
      </c>
      <c r="F122" s="78">
        <f>F80+F90+F94+F26+F81+F95+F60+F93</f>
        <v>70278786.47</v>
      </c>
      <c r="G122" s="78">
        <f>G80+G90+G94+G26+G81+G95+G93</f>
        <v>54170131</v>
      </c>
      <c r="H122" s="78">
        <f>H80+H90+H94+H26+H81+H95</f>
        <v>0</v>
      </c>
      <c r="I122" s="78">
        <f>I80+I90+I94+I26+I81+I95</f>
        <v>0</v>
      </c>
      <c r="J122" s="78">
        <f>L122+O122</f>
        <v>3530829</v>
      </c>
      <c r="K122" s="78">
        <f>K80+K90+K94+K26+K81+K91+K60+K56+K101+K49</f>
        <v>3530829</v>
      </c>
      <c r="L122" s="78">
        <f>L80+L90+L94+L26+L81+L91+L60+L56+L101+L49</f>
        <v>0</v>
      </c>
      <c r="M122" s="78">
        <f>M80+M90+M94+M26+M81+M91+M60+M56+M101+M49</f>
        <v>0</v>
      </c>
      <c r="N122" s="78">
        <f>N80+N90+N94+N26+N81+N91+N60+N56+N101+N49</f>
        <v>0</v>
      </c>
      <c r="O122" s="78">
        <f>O80+O90+O94+O26+O81+O91+O60+O56+O101+O49</f>
        <v>3530829</v>
      </c>
      <c r="P122" s="77">
        <f>E122+J122</f>
        <v>73809615.47</v>
      </c>
    </row>
    <row r="123" spans="1:16" s="54" customFormat="1" ht="17.25" customHeight="1">
      <c r="A123" s="57"/>
      <c r="B123" s="57"/>
      <c r="C123" s="57"/>
      <c r="D123" s="49" t="s">
        <v>194</v>
      </c>
      <c r="E123" s="78"/>
      <c r="F123" s="78"/>
      <c r="G123" s="78"/>
      <c r="H123" s="78"/>
      <c r="I123" s="78"/>
      <c r="J123" s="78"/>
      <c r="K123" s="78"/>
      <c r="L123" s="78"/>
      <c r="M123" s="78"/>
      <c r="N123" s="78"/>
      <c r="O123" s="78"/>
      <c r="P123" s="77">
        <f>E123+J123</f>
        <v>0</v>
      </c>
    </row>
    <row r="124" spans="1:16" s="54" customFormat="1" ht="70.5" customHeight="1">
      <c r="A124" s="57"/>
      <c r="B124" s="57"/>
      <c r="C124" s="57"/>
      <c r="D124" s="49" t="s">
        <v>195</v>
      </c>
      <c r="E124" s="78">
        <f>F124</f>
        <v>1089923.47</v>
      </c>
      <c r="F124" s="78">
        <f>F82+F95-346114</f>
        <v>1089923.47</v>
      </c>
      <c r="G124" s="78">
        <f>G82+G95-99154</f>
        <v>240000</v>
      </c>
      <c r="H124" s="78">
        <f>H82+H95</f>
        <v>0</v>
      </c>
      <c r="I124" s="78">
        <f>I82+I95</f>
        <v>0</v>
      </c>
      <c r="J124" s="78">
        <f>L124+O124</f>
        <v>2245829</v>
      </c>
      <c r="K124" s="78">
        <f>K81+K91</f>
        <v>2245829</v>
      </c>
      <c r="L124" s="78">
        <f>L81</f>
        <v>0</v>
      </c>
      <c r="M124" s="78">
        <f>M81</f>
        <v>0</v>
      </c>
      <c r="N124" s="78">
        <f>N81</f>
        <v>0</v>
      </c>
      <c r="O124" s="78">
        <f>O81+O91</f>
        <v>2245829</v>
      </c>
      <c r="P124" s="77">
        <f>E124+J124</f>
        <v>3335752.4699999997</v>
      </c>
    </row>
    <row r="125" spans="1:16" ht="33" customHeight="1">
      <c r="A125" s="97" t="s">
        <v>96</v>
      </c>
      <c r="B125" s="97"/>
      <c r="C125" s="97"/>
      <c r="D125" s="97"/>
      <c r="E125" s="23"/>
      <c r="F125" s="72"/>
      <c r="G125" s="72"/>
      <c r="H125" s="72"/>
      <c r="I125" s="73"/>
      <c r="J125" s="152" t="s">
        <v>97</v>
      </c>
      <c r="K125" s="152"/>
      <c r="L125" s="152"/>
      <c r="M125" s="152"/>
      <c r="N125" s="152"/>
      <c r="O125" s="72"/>
      <c r="P125" s="72"/>
    </row>
    <row r="126" spans="2:18" ht="15">
      <c r="B126" s="2"/>
      <c r="D126" s="32"/>
      <c r="F126" s="74"/>
      <c r="G126" s="74"/>
      <c r="H126" s="74"/>
      <c r="I126" s="13"/>
      <c r="J126" s="74"/>
      <c r="K126" s="75"/>
      <c r="L126" s="74"/>
      <c r="M126" s="74"/>
      <c r="N126" s="74"/>
      <c r="O126" s="74"/>
      <c r="P126" s="74"/>
      <c r="R126" s="68"/>
    </row>
    <row r="127" spans="5:16" ht="12.75">
      <c r="E127" s="12"/>
      <c r="F127" s="12"/>
      <c r="G127" s="12"/>
      <c r="H127" s="12"/>
      <c r="I127" s="12"/>
      <c r="J127" s="12"/>
      <c r="K127" s="12"/>
      <c r="L127" s="12"/>
      <c r="M127" s="12"/>
      <c r="N127" s="12"/>
      <c r="O127" s="12"/>
      <c r="P127" s="12"/>
    </row>
    <row r="129" spans="1:16" ht="12.75">
      <c r="A129" s="3"/>
      <c r="E129" s="12"/>
      <c r="F129" s="12"/>
      <c r="G129" s="12"/>
      <c r="H129" s="12"/>
      <c r="I129" s="12"/>
      <c r="J129" s="12"/>
      <c r="K129" s="12"/>
      <c r="L129" s="12"/>
      <c r="M129" s="12"/>
      <c r="N129" s="12"/>
      <c r="O129" s="12"/>
      <c r="P129" s="12"/>
    </row>
    <row r="130" spans="1:12" ht="12.75">
      <c r="A130" s="3"/>
      <c r="L130" s="12"/>
    </row>
    <row r="131" ht="12.75">
      <c r="A131" s="3"/>
    </row>
    <row r="132" ht="12.75">
      <c r="A132" s="3"/>
    </row>
    <row r="157" spans="3:8" ht="12.75">
      <c r="C157" s="92"/>
      <c r="D157" s="93"/>
      <c r="E157" s="93"/>
      <c r="F157" s="94"/>
      <c r="G157" s="95"/>
      <c r="H157" s="92"/>
    </row>
    <row r="158" spans="3:8" ht="12.75">
      <c r="C158" s="92"/>
      <c r="D158" s="92"/>
      <c r="E158" s="92"/>
      <c r="F158" s="92"/>
      <c r="G158" s="92"/>
      <c r="H158" s="92"/>
    </row>
  </sheetData>
  <sheetProtection/>
  <mergeCells count="26">
    <mergeCell ref="N3:O3"/>
    <mergeCell ref="J125:N125"/>
    <mergeCell ref="B8:C8"/>
    <mergeCell ref="B9:C9"/>
    <mergeCell ref="F11:F13"/>
    <mergeCell ref="G11:H11"/>
    <mergeCell ref="D10:D13"/>
    <mergeCell ref="E10:I10"/>
    <mergeCell ref="E11:E13"/>
    <mergeCell ref="J11:J13"/>
    <mergeCell ref="O11:O13"/>
    <mergeCell ref="H12:H13"/>
    <mergeCell ref="I11:I13"/>
    <mergeCell ref="L11:L13"/>
    <mergeCell ref="M11:N11"/>
    <mergeCell ref="K11:K13"/>
    <mergeCell ref="A5:P5"/>
    <mergeCell ref="A6:P6"/>
    <mergeCell ref="A10:A13"/>
    <mergeCell ref="B10:B13"/>
    <mergeCell ref="C10:C13"/>
    <mergeCell ref="P10:P13"/>
    <mergeCell ref="M12:M13"/>
    <mergeCell ref="G12:G13"/>
    <mergeCell ref="J10:O10"/>
    <mergeCell ref="N12:N13"/>
  </mergeCells>
  <printOptions/>
  <pageMargins left="0.1968503937007874" right="0.1968503937007874" top="0.3937007874015748" bottom="0.1968503937007874" header="0" footer="0"/>
  <pageSetup fitToHeight="500" horizontalDpi="600" verticalDpi="600" orientation="landscape" paperSize="9" scale="55" r:id="rId1"/>
  <headerFooter differentFirst="1" alignWithMargins="0">
    <oddHeader>&amp;RПродовження додатка 3.1</oddHeader>
  </headerFooter>
  <rowBreaks count="3" manualBreakCount="3">
    <brk id="49" max="15" man="1"/>
    <brk id="67" max="15" man="1"/>
    <brk id="8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гол бухгалтер</dc:creator>
  <cp:keywords/>
  <dc:description/>
  <cp:lastModifiedBy>Користувач Windows</cp:lastModifiedBy>
  <cp:lastPrinted>2021-10-21T15:39:16Z</cp:lastPrinted>
  <dcterms:created xsi:type="dcterms:W3CDTF">2016-12-26T13:46:38Z</dcterms:created>
  <dcterms:modified xsi:type="dcterms:W3CDTF">2021-10-21T15:43:39Z</dcterms:modified>
  <cp:category/>
  <cp:version/>
  <cp:contentType/>
  <cp:contentStatus/>
</cp:coreProperties>
</file>